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8920" windowHeight="15840" tabRatio="475" activeTab="1"/>
  </bookViews>
  <sheets>
    <sheet name="Variables" sheetId="6" r:id="rId1"/>
    <sheet name="Property Data" sheetId="1" r:id="rId2"/>
    <sheet name="Rehab Matrix" sheetId="2" r:id="rId3"/>
    <sheet name="Insurance" sheetId="4" r:id="rId4"/>
  </sheets>
  <externalReferences>
    <externalReference r:id="rId5"/>
  </externalReferences>
  <definedNames>
    <definedName name="_bdm.1d63bda4e4b84ce29b5b77decd2e749a.edm" localSheetId="3" hidden="1">#REF!</definedName>
    <definedName name="_bdm.1d63bda4e4b84ce29b5b77decd2e749a.edm" hidden="1">#REF!</definedName>
    <definedName name="_bdm.24a401c3c4cc42e3a2aa1c9b717e304f.edm" localSheetId="3" hidden="1">#REF!</definedName>
    <definedName name="_bdm.24a401c3c4cc42e3a2aa1c9b717e304f.edm" hidden="1">#REF!</definedName>
    <definedName name="_bdm.348fc03baaee4435838411ed41b1deee.edm" localSheetId="3" hidden="1">#REF!</definedName>
    <definedName name="_bdm.348fc03baaee4435838411ed41b1deee.edm" hidden="1">#REF!</definedName>
    <definedName name="_bdm.4884bd24c15449cd8f0bb0f97b47d3ee.edm" hidden="1">#REF!</definedName>
    <definedName name="_bdm.73e84900e55e438687fea518582f011f.edm" hidden="1">#REF!</definedName>
    <definedName name="_bdm.b8d04c8c8e9044fbab3cb051d892b55c.edm" hidden="1">#REF!</definedName>
    <definedName name="_bdm.dc13017a69f1434d8c235f124802138d.edm" hidden="1">#REF!</definedName>
    <definedName name="_xlnm._FilterDatabase" localSheetId="3" hidden="1">Insurance!$A$1:$B$51</definedName>
    <definedName name="FF_Baths_1">Variables!$F$13</definedName>
    <definedName name="FF_Baths_2">Variables!$I$13</definedName>
    <definedName name="FF_Baths_3">Variables!$L$13</definedName>
    <definedName name="FF_Beds_1">Variables!$F$12</definedName>
    <definedName name="FF_Beds_2">Variables!$I$12</definedName>
    <definedName name="FF_Beds_3">Variables!$L$12</definedName>
    <definedName name="FF_HOA_Allowed_1">Variables!$F$20</definedName>
    <definedName name="FF_HOA_Allowed_2">Variables!$I$20</definedName>
    <definedName name="FF_HOA_Allowed_3">Variables!$L$20</definedName>
    <definedName name="FF_Investor_Fee_1">Variables!$F$24</definedName>
    <definedName name="FF_Investor_Fee_2">Variables!$I$24</definedName>
    <definedName name="FF_Investor_Fee_3">Variables!$L$24</definedName>
    <definedName name="FF_Max_ARV_1">Variables!$F$18</definedName>
    <definedName name="FF_Max_ARV_2">Variables!$I$18</definedName>
    <definedName name="FF_Max_ARV_3">Variables!$L$18</definedName>
    <definedName name="FF_Max_Footage_1">Variables!$F$15</definedName>
    <definedName name="FF_Max_Footage_2">Variables!$I$15</definedName>
    <definedName name="FF_Max_Footage_3">Variables!$L$15</definedName>
    <definedName name="FF_Max_Price_1">Variables!$F$17</definedName>
    <definedName name="FF_Max_Price_2">Variables!$I$17</definedName>
    <definedName name="FF_Max_Price_3">Variables!$L$17</definedName>
    <definedName name="FF_Max_Rehab_1">Variables!$F$16</definedName>
    <definedName name="FF_Max_Rehab_2">Variables!$I$16</definedName>
    <definedName name="FF_Max_Rehab_3">Variables!$L$16</definedName>
    <definedName name="FF_Min_Footage_1">Variables!$F$14</definedName>
    <definedName name="FF_Min_Footage_2">Variables!$I$14</definedName>
    <definedName name="FF_Min_Footage_3">Variables!$L$14</definedName>
    <definedName name="FF_Pool_Allowed_1">Variables!$F$21</definedName>
    <definedName name="FF_Pool_Allowed_2">Variables!$I$21</definedName>
    <definedName name="FF_Pool_Allowed_3">Variables!$L$21</definedName>
    <definedName name="FF_ROI_1">Variables!$F$11</definedName>
    <definedName name="FF_ROI_2">Variables!$I$11</definedName>
    <definedName name="FF_ROI_3">Variables!$L$11</definedName>
    <definedName name="FF_Sewer_1">Variables!$F$23</definedName>
    <definedName name="FF_Sewer_2">Variables!$I$23</definedName>
    <definedName name="FF_Sewer_3">Variables!$L$23</definedName>
    <definedName name="FF_Water_1">Variables!$F$22</definedName>
    <definedName name="FF_Water_2">Variables!$I$22</definedName>
    <definedName name="FF_Water_3">Variables!$L$22</definedName>
    <definedName name="FF_Year_Built_1">Variables!$F$19</definedName>
    <definedName name="FF_Year_Built_2">Variables!$I$19</definedName>
    <definedName name="FF_Year_Built_3">Variables!$L$19</definedName>
    <definedName name="FR_Cap_Rate">Variables!$C$15</definedName>
    <definedName name="FR_Investor_Return">Variables!#REF!</definedName>
    <definedName name="FR_Max_Price">Variables!$C$21</definedName>
    <definedName name="FR_Max_Repairs">Variables!$C$19</definedName>
    <definedName name="FR_Min_Baths">Variables!$C$17</definedName>
    <definedName name="FR_Min_Beds">Variables!$C$16</definedName>
    <definedName name="FR_Min_Footage">Variables!$C$18</definedName>
    <definedName name="FR_Min_Price">Variables!$C$20</definedName>
    <definedName name="FR_Pool_Allowed">Variables!$C$22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43324.9186921296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ease_Fee_Additional">Variables!$C$14</definedName>
    <definedName name="Lease_Fee_Monthly">Variables!$C$13</definedName>
    <definedName name="Lease_Return">Variables!$C$15</definedName>
    <definedName name="Max_Price1">Variables!$F$26</definedName>
    <definedName name="Max_Price2">Variables!$I$26</definedName>
    <definedName name="Max_Price3">Variables!$L$26</definedName>
    <definedName name="Min_Price1">Variables!$F$25</definedName>
    <definedName name="Min_Price2">Variables!$I$25</definedName>
    <definedName name="Min_Price3">Variables!$L$25</definedName>
    <definedName name="Property_Management">Variables!$C$12</definedName>
    <definedName name="RehabLevel">OFFSET('[1]Underwriting Inputs'!$AI$2,0,0,COUNTA('[1]Underwriting Inputs'!$AI$2:$AI$10000),1)</definedName>
    <definedName name="UnderwritingList">OFFSET([1]Underwriting!B20:B10001,0,0,COUNTA([1]Underwriting!B20:B10001),1)</definedName>
    <definedName name="Vacancy_Factor">Variables!$C$11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8" i="1" l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3" i="1"/>
  <c r="Y2" i="1"/>
  <c r="W2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3" i="1"/>
  <c r="X3" i="1" s="1"/>
  <c r="U3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7" i="1"/>
  <c r="U6" i="1"/>
  <c r="U5" i="1"/>
  <c r="U2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Q2" i="1"/>
  <c r="Q3" i="1"/>
  <c r="R3" i="1" s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V4" i="1"/>
  <c r="AA4" i="1" s="1"/>
  <c r="V5" i="1"/>
  <c r="AA5" i="1" s="1"/>
  <c r="V6" i="1"/>
  <c r="AA6" i="1" s="1"/>
  <c r="V7" i="1"/>
  <c r="AA7" i="1" s="1"/>
  <c r="V8" i="1"/>
  <c r="AA8" i="1" s="1"/>
  <c r="V9" i="1"/>
  <c r="AA9" i="1" s="1"/>
  <c r="V10" i="1"/>
  <c r="AA10" i="1" s="1"/>
  <c r="V11" i="1"/>
  <c r="AA11" i="1" s="1"/>
  <c r="V12" i="1"/>
  <c r="AA12" i="1" s="1"/>
  <c r="V13" i="1"/>
  <c r="AA13" i="1" s="1"/>
  <c r="V14" i="1"/>
  <c r="AA14" i="1" s="1"/>
  <c r="V15" i="1"/>
  <c r="AA15" i="1" s="1"/>
  <c r="V16" i="1"/>
  <c r="AA16" i="1" s="1"/>
  <c r="V17" i="1"/>
  <c r="AA17" i="1" s="1"/>
  <c r="V18" i="1"/>
  <c r="AA18" i="1" s="1"/>
  <c r="V19" i="1"/>
  <c r="AA19" i="1" s="1"/>
  <c r="V20" i="1"/>
  <c r="AA20" i="1" s="1"/>
  <c r="V21" i="1"/>
  <c r="AA21" i="1" s="1"/>
  <c r="V22" i="1"/>
  <c r="AA22" i="1" s="1"/>
  <c r="V23" i="1"/>
  <c r="AA23" i="1" s="1"/>
  <c r="V24" i="1"/>
  <c r="AA24" i="1" s="1"/>
  <c r="V25" i="1"/>
  <c r="AA25" i="1" s="1"/>
  <c r="V26" i="1"/>
  <c r="AA26" i="1" s="1"/>
  <c r="V27" i="1"/>
  <c r="AA27" i="1" s="1"/>
  <c r="V28" i="1"/>
  <c r="AA28" i="1" s="1"/>
  <c r="V29" i="1"/>
  <c r="AA29" i="1" s="1"/>
  <c r="V30" i="1"/>
  <c r="AA30" i="1" s="1"/>
  <c r="V31" i="1"/>
  <c r="AA31" i="1" s="1"/>
  <c r="V32" i="1"/>
  <c r="AA32" i="1" s="1"/>
  <c r="V33" i="1"/>
  <c r="AA33" i="1" s="1"/>
  <c r="AM6" i="1" l="1"/>
  <c r="AJ2" i="1"/>
  <c r="V3" i="1"/>
  <c r="R2" i="1"/>
  <c r="Z2" i="1" s="1"/>
  <c r="Z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K24" i="1"/>
  <c r="AK25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O4" i="1"/>
  <c r="AR4" i="1" s="1"/>
  <c r="AO5" i="1"/>
  <c r="AO6" i="1"/>
  <c r="AR6" i="1" s="1"/>
  <c r="AO7" i="1"/>
  <c r="AR7" i="1" s="1"/>
  <c r="AO8" i="1"/>
  <c r="AR8" i="1" s="1"/>
  <c r="AO9" i="1"/>
  <c r="AR9" i="1" s="1"/>
  <c r="AO10" i="1"/>
  <c r="AR10" i="1" s="1"/>
  <c r="AO11" i="1"/>
  <c r="AR11" i="1" s="1"/>
  <c r="AO12" i="1"/>
  <c r="AR12" i="1" s="1"/>
  <c r="AO13" i="1"/>
  <c r="AO14" i="1"/>
  <c r="AR14" i="1" s="1"/>
  <c r="AO15" i="1"/>
  <c r="AR15" i="1" s="1"/>
  <c r="AO16" i="1"/>
  <c r="AR16" i="1" s="1"/>
  <c r="AO17" i="1"/>
  <c r="AR17" i="1" s="1"/>
  <c r="AO18" i="1"/>
  <c r="AR18" i="1" s="1"/>
  <c r="AO19" i="1"/>
  <c r="AR19" i="1" s="1"/>
  <c r="AO20" i="1"/>
  <c r="AR20" i="1" s="1"/>
  <c r="AO21" i="1"/>
  <c r="AR21" i="1" s="1"/>
  <c r="AO22" i="1"/>
  <c r="AR22" i="1" s="1"/>
  <c r="AO23" i="1"/>
  <c r="AR23" i="1" s="1"/>
  <c r="AO24" i="1"/>
  <c r="AR24" i="1" s="1"/>
  <c r="AO25" i="1"/>
  <c r="AR25" i="1" s="1"/>
  <c r="AO26" i="1"/>
  <c r="AR26" i="1" s="1"/>
  <c r="AO27" i="1"/>
  <c r="AR27" i="1" s="1"/>
  <c r="AO28" i="1"/>
  <c r="AR28" i="1" s="1"/>
  <c r="AO29" i="1"/>
  <c r="AR29" i="1" s="1"/>
  <c r="AO30" i="1"/>
  <c r="AR30" i="1" s="1"/>
  <c r="AO31" i="1"/>
  <c r="AR31" i="1" s="1"/>
  <c r="AO32" i="1"/>
  <c r="AR32" i="1" s="1"/>
  <c r="AO33" i="1"/>
  <c r="AR33" i="1" s="1"/>
  <c r="AA3" i="1" l="1"/>
  <c r="X2" i="1"/>
  <c r="W4" i="1"/>
  <c r="U4" i="1"/>
  <c r="Y4" i="1"/>
  <c r="V2" i="1"/>
  <c r="AA2" i="1" s="1"/>
  <c r="AH12" i="1"/>
  <c r="AH30" i="1"/>
  <c r="AH14" i="1"/>
  <c r="AH32" i="1"/>
  <c r="AH24" i="1"/>
  <c r="AH16" i="1"/>
  <c r="AH8" i="1"/>
  <c r="AH28" i="1"/>
  <c r="AH20" i="1"/>
  <c r="AH4" i="1"/>
  <c r="AH29" i="1"/>
  <c r="AH21" i="1"/>
  <c r="AH6" i="1"/>
  <c r="AH18" i="1"/>
  <c r="AH10" i="1"/>
  <c r="AH22" i="1"/>
  <c r="AH26" i="1"/>
  <c r="AH33" i="1"/>
  <c r="AH25" i="1"/>
  <c r="AH17" i="1"/>
  <c r="AH9" i="1"/>
  <c r="AH27" i="1"/>
  <c r="AH19" i="1"/>
  <c r="AH11" i="1"/>
  <c r="AH31" i="1"/>
  <c r="AH23" i="1"/>
  <c r="AH7" i="1"/>
  <c r="AH15" i="1"/>
  <c r="AS24" i="1"/>
  <c r="AS8" i="1"/>
  <c r="AR13" i="1"/>
  <c r="AR5" i="1"/>
  <c r="AS16" i="1"/>
  <c r="AS32" i="1"/>
  <c r="AS31" i="1"/>
  <c r="AS7" i="1"/>
  <c r="AS23" i="1"/>
  <c r="AS15" i="1"/>
  <c r="AS29" i="1"/>
  <c r="AS21" i="1"/>
  <c r="AS28" i="1"/>
  <c r="AS20" i="1"/>
  <c r="AS12" i="1"/>
  <c r="AS4" i="1"/>
  <c r="AS27" i="1"/>
  <c r="AS19" i="1"/>
  <c r="AS11" i="1"/>
  <c r="AS10" i="1"/>
  <c r="AS30" i="1"/>
  <c r="AS22" i="1"/>
  <c r="AS14" i="1"/>
  <c r="AS6" i="1"/>
  <c r="AS26" i="1"/>
  <c r="AS18" i="1"/>
  <c r="AS33" i="1"/>
  <c r="AS25" i="1"/>
  <c r="AS17" i="1"/>
  <c r="AS9" i="1"/>
  <c r="AS5" i="1" l="1"/>
  <c r="AH5" i="1"/>
  <c r="AS13" i="1"/>
  <c r="AH1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D2" i="1" l="1"/>
  <c r="AP2" i="1" s="1"/>
  <c r="AD3" i="1"/>
  <c r="AD4" i="1"/>
  <c r="AL4" i="1" s="1"/>
  <c r="AD5" i="1"/>
  <c r="AL5" i="1" s="1"/>
  <c r="AD6" i="1"/>
  <c r="AL6" i="1" s="1"/>
  <c r="AD7" i="1"/>
  <c r="AL7" i="1" s="1"/>
  <c r="AD8" i="1"/>
  <c r="AL8" i="1" s="1"/>
  <c r="AD9" i="1"/>
  <c r="AL9" i="1" s="1"/>
  <c r="AD10" i="1"/>
  <c r="AL10" i="1" s="1"/>
  <c r="AD11" i="1"/>
  <c r="AL11" i="1" s="1"/>
  <c r="AD12" i="1"/>
  <c r="AL12" i="1" s="1"/>
  <c r="AD13" i="1"/>
  <c r="AL13" i="1" s="1"/>
  <c r="AD14" i="1"/>
  <c r="AL14" i="1" s="1"/>
  <c r="AD15" i="1"/>
  <c r="AL15" i="1" s="1"/>
  <c r="AD16" i="1"/>
  <c r="AL16" i="1" s="1"/>
  <c r="AD17" i="1"/>
  <c r="AL17" i="1" s="1"/>
  <c r="AD18" i="1"/>
  <c r="AL18" i="1" s="1"/>
  <c r="AD19" i="1"/>
  <c r="AL19" i="1" s="1"/>
  <c r="AD20" i="1"/>
  <c r="AL20" i="1" s="1"/>
  <c r="AD21" i="1"/>
  <c r="AL21" i="1" s="1"/>
  <c r="AD22" i="1"/>
  <c r="AL22" i="1" s="1"/>
  <c r="AD23" i="1"/>
  <c r="AL23" i="1" s="1"/>
  <c r="AD24" i="1"/>
  <c r="AL24" i="1" s="1"/>
  <c r="AD25" i="1"/>
  <c r="AL25" i="1" s="1"/>
  <c r="AD26" i="1"/>
  <c r="AL26" i="1" s="1"/>
  <c r="AD27" i="1"/>
  <c r="AL27" i="1" s="1"/>
  <c r="AD28" i="1"/>
  <c r="AL28" i="1" s="1"/>
  <c r="AD29" i="1"/>
  <c r="AL29" i="1" s="1"/>
  <c r="AD30" i="1"/>
  <c r="AL30" i="1" s="1"/>
  <c r="AD31" i="1"/>
  <c r="AL31" i="1" s="1"/>
  <c r="AD32" i="1"/>
  <c r="AL32" i="1" s="1"/>
  <c r="AD33" i="1"/>
  <c r="AL33" i="1" s="1"/>
  <c r="AN4" i="1"/>
  <c r="AK4" i="1" s="1"/>
  <c r="AN5" i="1"/>
  <c r="AK5" i="1" s="1"/>
  <c r="AN6" i="1"/>
  <c r="AK6" i="1" s="1"/>
  <c r="AN7" i="1"/>
  <c r="AK7" i="1" s="1"/>
  <c r="AN8" i="1"/>
  <c r="AK8" i="1" s="1"/>
  <c r="AN9" i="1"/>
  <c r="AK9" i="1" s="1"/>
  <c r="AN10" i="1"/>
  <c r="AK10" i="1" s="1"/>
  <c r="AN11" i="1"/>
  <c r="AK11" i="1" s="1"/>
  <c r="AN12" i="1"/>
  <c r="AK12" i="1" s="1"/>
  <c r="AN13" i="1"/>
  <c r="AK13" i="1" s="1"/>
  <c r="AN14" i="1"/>
  <c r="AK14" i="1" s="1"/>
  <c r="AN15" i="1"/>
  <c r="AK15" i="1" s="1"/>
  <c r="AN16" i="1"/>
  <c r="AK16" i="1" s="1"/>
  <c r="AN17" i="1"/>
  <c r="AK17" i="1" s="1"/>
  <c r="AN18" i="1"/>
  <c r="AK18" i="1" s="1"/>
  <c r="AN19" i="1"/>
  <c r="AK19" i="1" s="1"/>
  <c r="AN20" i="1"/>
  <c r="AK20" i="1" s="1"/>
  <c r="AN21" i="1"/>
  <c r="AK21" i="1" s="1"/>
  <c r="AN22" i="1"/>
  <c r="AK22" i="1" s="1"/>
  <c r="AN23" i="1"/>
  <c r="AK23" i="1" s="1"/>
  <c r="AN26" i="1"/>
  <c r="AK26" i="1" s="1"/>
  <c r="AN27" i="1"/>
  <c r="AK27" i="1" s="1"/>
  <c r="AN28" i="1"/>
  <c r="AK28" i="1" s="1"/>
  <c r="AN29" i="1"/>
  <c r="AK29" i="1" s="1"/>
  <c r="AN30" i="1"/>
  <c r="AK30" i="1" s="1"/>
  <c r="AN31" i="1"/>
  <c r="AK31" i="1" s="1"/>
  <c r="AN32" i="1"/>
  <c r="AK32" i="1" s="1"/>
  <c r="AN33" i="1"/>
  <c r="AK33" i="1" s="1"/>
  <c r="AM2" i="1"/>
  <c r="AN2" i="1" s="1"/>
  <c r="AK2" i="1" s="1"/>
  <c r="AM3" i="1"/>
  <c r="AM4" i="1"/>
  <c r="AM5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N3" i="1" l="1"/>
  <c r="AK3" i="1" s="1"/>
  <c r="AL3" i="1"/>
  <c r="AP3" i="1"/>
  <c r="AL2" i="1"/>
  <c r="M13" i="4"/>
  <c r="AO2" i="1" l="1"/>
  <c r="AR2" i="1" s="1"/>
  <c r="AO3" i="1"/>
  <c r="AR3" i="1" s="1"/>
  <c r="AH3" i="1" s="1"/>
  <c r="AI3" i="1" s="1"/>
  <c r="AH2" i="1" l="1"/>
  <c r="AI2" i="1" s="1"/>
  <c r="AS2" i="1"/>
  <c r="AQ2" i="1" s="1"/>
  <c r="AS3" i="1"/>
  <c r="AQ3" i="1" s="1"/>
</calcChain>
</file>

<file path=xl/sharedStrings.xml><?xml version="1.0" encoding="utf-8"?>
<sst xmlns="http://schemas.openxmlformats.org/spreadsheetml/2006/main" count="259" uniqueCount="175">
  <si>
    <t>Address</t>
  </si>
  <si>
    <t>City</t>
  </si>
  <si>
    <t>State</t>
  </si>
  <si>
    <t>Zip</t>
  </si>
  <si>
    <t>Bed</t>
  </si>
  <si>
    <t>Bath</t>
  </si>
  <si>
    <t>Square Footage</t>
  </si>
  <si>
    <t>Year Built</t>
  </si>
  <si>
    <t>Current Monthly Rent</t>
  </si>
  <si>
    <t>ARV</t>
  </si>
  <si>
    <t>Source</t>
  </si>
  <si>
    <t>MLS</t>
  </si>
  <si>
    <t>Rate</t>
  </si>
  <si>
    <t>MSA</t>
  </si>
  <si>
    <t>Flood Zone</t>
  </si>
  <si>
    <t>GL</t>
  </si>
  <si>
    <t>Notes</t>
  </si>
  <si>
    <t>GA</t>
  </si>
  <si>
    <t>Miami-Fort Lauderdale-Pompano Beach, FL MSA</t>
  </si>
  <si>
    <t>X</t>
  </si>
  <si>
    <t>Rates are based on the total insured value</t>
  </si>
  <si>
    <t>FL</t>
  </si>
  <si>
    <t>Houston-Sugar Land-Baytown, TX MSA</t>
  </si>
  <si>
    <t>X500</t>
  </si>
  <si>
    <t>Total insured value is calculated by the sum of $75 a square foot and Effective Gross Rental Income</t>
  </si>
  <si>
    <t>SC</t>
  </si>
  <si>
    <t>Corpus Christi, TX MSA</t>
  </si>
  <si>
    <t>C</t>
  </si>
  <si>
    <t>If property is in an MSA on the MSA list then use the rate in the MSA table otherwise use the rate in the State table</t>
  </si>
  <si>
    <t>NC</t>
  </si>
  <si>
    <t>Savannah, GA MSA</t>
  </si>
  <si>
    <t>D</t>
  </si>
  <si>
    <t>If property is in either Flood Zone A or AE add the flood premium to the property premium</t>
  </si>
  <si>
    <t>TX</t>
  </si>
  <si>
    <t>Charleston-North Charleston, SC MSA</t>
  </si>
  <si>
    <t>AE</t>
  </si>
  <si>
    <t>Add the General Liability Premium ("GL") as a flat rate to all properties</t>
  </si>
  <si>
    <t>IL</t>
  </si>
  <si>
    <t>A</t>
  </si>
  <si>
    <t>IN</t>
  </si>
  <si>
    <t>Yes</t>
  </si>
  <si>
    <t>Example Calc</t>
  </si>
  <si>
    <t>AL</t>
  </si>
  <si>
    <t>AK</t>
  </si>
  <si>
    <t>Property SQFT</t>
  </si>
  <si>
    <t>AZ</t>
  </si>
  <si>
    <t>Annual Net Rent</t>
  </si>
  <si>
    <t>AR</t>
  </si>
  <si>
    <t>CA</t>
  </si>
  <si>
    <t>Insurance</t>
  </si>
  <si>
    <t>CO</t>
  </si>
  <si>
    <t>CT</t>
  </si>
  <si>
    <t>DE</t>
  </si>
  <si>
    <t>HI</t>
  </si>
  <si>
    <t>ID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</si>
  <si>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</si>
  <si>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</si>
  <si>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</si>
  <si>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</si>
  <si>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</si>
  <si>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</si>
  <si>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</si>
  <si>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</si>
  <si>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</si>
  <si>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</si>
  <si>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</si>
  <si>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</si>
  <si>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</si>
  <si>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</si>
  <si>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</si>
  <si>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</si>
  <si>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</si>
  <si>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</si>
  <si>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ND</t>
  </si>
  <si>
    <t>OH</t>
  </si>
  <si>
    <t>OK</t>
  </si>
  <si>
    <t>OR</t>
  </si>
  <si>
    <t>PA</t>
  </si>
  <si>
    <t>RI</t>
  </si>
  <si>
    <t>SD</t>
  </si>
  <si>
    <t>TN</t>
  </si>
  <si>
    <t>UT</t>
  </si>
  <si>
    <t>VT</t>
  </si>
  <si>
    <t>VA</t>
  </si>
  <si>
    <t>WA</t>
  </si>
  <si>
    <t>WV</t>
  </si>
  <si>
    <t>WI</t>
  </si>
  <si>
    <t>WY</t>
  </si>
  <si>
    <t>R&amp;M</t>
  </si>
  <si>
    <t>Turn</t>
  </si>
  <si>
    <t>CapEx</t>
  </si>
  <si>
    <t>NOI</t>
  </si>
  <si>
    <t>Bid to Ask</t>
  </si>
  <si>
    <t>Florissant</t>
  </si>
  <si>
    <t xml:space="preserve">123 Main Street </t>
  </si>
  <si>
    <t>Bad Debt + Vacancy Factor</t>
  </si>
  <si>
    <t>Property Management Fee</t>
  </si>
  <si>
    <t>Lease Fee</t>
  </si>
  <si>
    <t>Lease Fee - % of Monthly</t>
  </si>
  <si>
    <t>Lease Fee - Additional</t>
  </si>
  <si>
    <t xml:space="preserve">Bad Debt &amp; Vacancy </t>
  </si>
  <si>
    <t>Annual HOA</t>
  </si>
  <si>
    <t>Annual Tax</t>
  </si>
  <si>
    <t>Beds</t>
  </si>
  <si>
    <t>Baths</t>
  </si>
  <si>
    <t>Maximum Price</t>
  </si>
  <si>
    <t>Est. Rehab</t>
  </si>
  <si>
    <t>Fix &amp; Flip 1 ?</t>
  </si>
  <si>
    <t>Fix &amp; Flip 2?</t>
  </si>
  <si>
    <t>223 Oak Street</t>
  </si>
  <si>
    <t>Carlson</t>
  </si>
  <si>
    <t>Potential Rent - Monthly</t>
  </si>
  <si>
    <t>Potential Rent - Yearly</t>
  </si>
  <si>
    <t xml:space="preserve"> Auction</t>
  </si>
  <si>
    <t>List Price</t>
  </si>
  <si>
    <t>Cap Rate (Min Return)</t>
  </si>
  <si>
    <t>Investor Fee</t>
  </si>
  <si>
    <t>Fix &amp; Flip 3?</t>
  </si>
  <si>
    <t>Suggested Offer Price</t>
  </si>
  <si>
    <t>Calculated Rehab</t>
  </si>
  <si>
    <t>Fix &amp; Rent Cap Rate</t>
  </si>
  <si>
    <t>Minimum Beds</t>
  </si>
  <si>
    <t>Minimum Baths</t>
  </si>
  <si>
    <t>Minimum Square Feet</t>
  </si>
  <si>
    <t>Maximum Repairs</t>
  </si>
  <si>
    <t>Minimum Price</t>
  </si>
  <si>
    <t>Pool?</t>
  </si>
  <si>
    <t>No</t>
  </si>
  <si>
    <t>Max ARV</t>
  </si>
  <si>
    <t>NA</t>
  </si>
  <si>
    <t>Max Rehab</t>
  </si>
  <si>
    <t>Maximum Square Feet</t>
  </si>
  <si>
    <t>HOA Allowed?</t>
  </si>
  <si>
    <t>Pool</t>
  </si>
  <si>
    <t>Water</t>
  </si>
  <si>
    <t>Sewer</t>
  </si>
  <si>
    <t>Public</t>
  </si>
  <si>
    <t>Offer At Cap Rate</t>
  </si>
  <si>
    <t>Offer inc. Rehab</t>
  </si>
  <si>
    <t>Meets Criteria</t>
  </si>
  <si>
    <t>FF Criteria 1</t>
  </si>
  <si>
    <t>FF Criteria 2</t>
  </si>
  <si>
    <t>FF Criteria 3</t>
  </si>
  <si>
    <t>High Rehab $</t>
  </si>
  <si>
    <t>Additional Fee(s)</t>
  </si>
  <si>
    <t>Low &amp; Moderate Income</t>
  </si>
  <si>
    <t>Minimum Annualized ROI</t>
  </si>
  <si>
    <t>Investor Fee (of Repairs)</t>
  </si>
  <si>
    <t>No Well Water, must be on Public water system</t>
  </si>
  <si>
    <t>No Septic Sewage, must be on Public sewer system</t>
  </si>
  <si>
    <t>No Fuel Oil Tanks-buried or above ground</t>
  </si>
  <si>
    <t>No negative sloped driveways (back towards the house)</t>
  </si>
  <si>
    <t>No reverse grades causing drainage issues</t>
  </si>
  <si>
    <t>No known environmental issues, (other than lead based paints)</t>
  </si>
  <si>
    <t>No occupied rental properties</t>
  </si>
  <si>
    <t>No zoning or variance required</t>
  </si>
  <si>
    <t>Clear and Marketable Title</t>
  </si>
  <si>
    <t>No HOA preferred</t>
  </si>
  <si>
    <t xml:space="preserve">Fix &amp; Rent </t>
  </si>
  <si>
    <t>Fix and Flip - Investor 1</t>
  </si>
  <si>
    <t>Fix and Flip - Investor 2</t>
  </si>
  <si>
    <t>Fix and Flip - Investor 3</t>
  </si>
  <si>
    <t>Submit Fix &amp; Flip?</t>
  </si>
  <si>
    <t>Submit Fix &amp; Rent?</t>
  </si>
  <si>
    <t>Property Mgmt</t>
  </si>
  <si>
    <t>Rent after Bad Debt &amp; Vacancy</t>
  </si>
  <si>
    <t xml:space="preserve">  INSTRUCTIONS</t>
  </si>
  <si>
    <t>Enter property information in the gray columns above.</t>
  </si>
  <si>
    <t>Source, Address, City, State, Zip, Bed, Bath, Square Footage, Year Built, List Price, Pool, Water, Sewer, Annual HOA, Annual Tax, Est. Rehab, ARV, Suggested Offer Price</t>
  </si>
  <si>
    <t>Fix &amp; Flip</t>
  </si>
  <si>
    <t>Fix &amp; Rent</t>
  </si>
  <si>
    <t>Enter additional information about the property in columns AB &amp; AC (Current Monthly Rent, Potential Rent - Monthly)</t>
  </si>
  <si>
    <r>
      <t xml:space="preserve">If Column AA is </t>
    </r>
    <r>
      <rPr>
        <b/>
        <sz val="11"/>
        <color theme="9" tint="-0.249977111117893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>, it meets the initial investor criteria for our fix and flip program. Please submit to http://www.GenStoneRealty.com/FixandFlip</t>
    </r>
  </si>
  <si>
    <r>
      <t xml:space="preserve">If Column AI is </t>
    </r>
    <r>
      <rPr>
        <b/>
        <sz val="11"/>
        <color theme="9" tint="-0.249977111117893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>, it meets the initial investor criteria for our Fix &amp; Rent program. Please submitt to http://www.GenStoneRealty.com/FixandFlip</t>
    </r>
  </si>
  <si>
    <t>Leave cells blank if you don't have an answer or does not apply.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</si>
</sst>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&quot;$&quot;#,##0.000"/>
    <numFmt numFmtId="167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theme="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44" fontId="0" fillId="0" borderId="0" xfId="1" applyFont="1" applyFill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3" borderId="0" xfId="0" applyFill="1"/>
    <xf numFmtId="0" fontId="0" fillId="3" borderId="4" xfId="0" applyFill="1" applyBorder="1"/>
    <xf numFmtId="164" fontId="0" fillId="3" borderId="5" xfId="2" applyNumberFormat="1" applyFont="1" applyFill="1" applyBorder="1"/>
    <xf numFmtId="164" fontId="0" fillId="3" borderId="0" xfId="2" applyNumberFormat="1" applyFont="1" applyFill="1" applyBorder="1"/>
    <xf numFmtId="164" fontId="0" fillId="3" borderId="6" xfId="2" applyNumberFormat="1" applyFont="1" applyFill="1" applyBorder="1"/>
    <xf numFmtId="0" fontId="0" fillId="3" borderId="7" xfId="0" applyFill="1" applyBorder="1"/>
    <xf numFmtId="166" fontId="0" fillId="3" borderId="5" xfId="2" applyNumberFormat="1" applyFont="1" applyFill="1" applyBorder="1"/>
    <xf numFmtId="164" fontId="0" fillId="3" borderId="0" xfId="0" applyNumberFormat="1" applyFill="1"/>
    <xf numFmtId="0" fontId="0" fillId="3" borderId="8" xfId="0" applyFill="1" applyBorder="1"/>
    <xf numFmtId="164" fontId="0" fillId="3" borderId="9" xfId="2" applyNumberFormat="1" applyFont="1" applyFill="1" applyBorder="1"/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0" fontId="5" fillId="0" borderId="0" xfId="0" applyFont="1" applyFill="1"/>
    <xf numFmtId="0" fontId="0" fillId="0" borderId="10" xfId="0" applyBorder="1"/>
    <xf numFmtId="165" fontId="0" fillId="5" borderId="10" xfId="0" applyNumberFormat="1" applyFill="1" applyBorder="1"/>
    <xf numFmtId="0" fontId="0" fillId="0" borderId="0" xfId="0" applyFill="1"/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2" xfId="0" applyNumberFormat="1" applyFill="1" applyBorder="1" applyAlignment="1">
      <alignment horizontal="center"/>
    </xf>
    <xf numFmtId="44" fontId="0" fillId="6" borderId="12" xfId="1" applyFon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3" fillId="8" borderId="12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3" fontId="0" fillId="0" borderId="10" xfId="0" applyNumberFormat="1" applyBorder="1"/>
    <xf numFmtId="6" fontId="0" fillId="0" borderId="10" xfId="0" applyNumberFormat="1" applyBorder="1"/>
    <xf numFmtId="44" fontId="0" fillId="0" borderId="10" xfId="1" applyNumberFormat="1" applyFont="1" applyFill="1" applyBorder="1" applyAlignment="1">
      <alignment horizontal="center"/>
    </xf>
    <xf numFmtId="44" fontId="0" fillId="0" borderId="10" xfId="1" applyFont="1" applyFill="1" applyBorder="1" applyAlignment="1">
      <alignment horizontal="center"/>
    </xf>
    <xf numFmtId="44" fontId="0" fillId="0" borderId="10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0" fillId="0" borderId="10" xfId="2" applyNumberFormat="1" applyFont="1" applyFill="1" applyBorder="1" applyAlignment="1">
      <alignment horizontal="center"/>
    </xf>
    <xf numFmtId="165" fontId="0" fillId="0" borderId="10" xfId="2" applyNumberFormat="1" applyFon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5" xfId="0" applyBorder="1"/>
    <xf numFmtId="3" fontId="0" fillId="0" borderId="15" xfId="0" applyNumberFormat="1" applyBorder="1"/>
    <xf numFmtId="6" fontId="0" fillId="0" borderId="15" xfId="0" applyNumberFormat="1" applyBorder="1"/>
    <xf numFmtId="44" fontId="0" fillId="0" borderId="15" xfId="1" applyNumberFormat="1" applyFont="1" applyFill="1" applyBorder="1" applyAlignment="1">
      <alignment horizontal="center"/>
    </xf>
    <xf numFmtId="44" fontId="0" fillId="0" borderId="15" xfId="1" applyFont="1" applyFill="1" applyBorder="1" applyAlignment="1">
      <alignment horizontal="center"/>
    </xf>
    <xf numFmtId="44" fontId="0" fillId="0" borderId="15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0" fillId="0" borderId="15" xfId="2" applyNumberFormat="1" applyFont="1" applyFill="1" applyBorder="1" applyAlignment="1">
      <alignment horizontal="center"/>
    </xf>
    <xf numFmtId="165" fontId="0" fillId="0" borderId="15" xfId="2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44" fontId="0" fillId="9" borderId="12" xfId="1" applyFont="1" applyFill="1" applyBorder="1" applyAlignment="1">
      <alignment horizontal="center"/>
    </xf>
    <xf numFmtId="0" fontId="0" fillId="0" borderId="0" xfId="0" applyBorder="1"/>
    <xf numFmtId="10" fontId="0" fillId="0" borderId="10" xfId="0" applyNumberForma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15" xfId="0" applyNumberFormat="1" applyFill="1" applyBorder="1" applyAlignment="1">
      <alignment horizontal="center"/>
    </xf>
    <xf numFmtId="10" fontId="0" fillId="7" borderId="12" xfId="2" applyNumberFormat="1" applyFont="1" applyFill="1" applyBorder="1" applyAlignment="1">
      <alignment horizontal="center"/>
    </xf>
    <xf numFmtId="164" fontId="3" fillId="7" borderId="12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1" fontId="0" fillId="10" borderId="10" xfId="0" applyNumberFormat="1" applyFill="1" applyBorder="1"/>
    <xf numFmtId="165" fontId="0" fillId="10" borderId="10" xfId="0" applyNumberFormat="1" applyFill="1" applyBorder="1"/>
    <xf numFmtId="167" fontId="0" fillId="10" borderId="10" xfId="0" applyNumberFormat="1" applyFill="1" applyBorder="1"/>
    <xf numFmtId="6" fontId="0" fillId="0" borderId="0" xfId="0" applyNumberFormat="1" applyFill="1"/>
    <xf numFmtId="0" fontId="0" fillId="10" borderId="10" xfId="0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0" fontId="5" fillId="11" borderId="13" xfId="0" applyFont="1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0" borderId="10" xfId="0" applyFill="1" applyBorder="1"/>
    <xf numFmtId="0" fontId="0" fillId="12" borderId="10" xfId="0" applyFill="1" applyBorder="1"/>
    <xf numFmtId="0" fontId="0" fillId="13" borderId="10" xfId="0" applyFill="1" applyBorder="1" applyAlignment="1">
      <alignment horizontal="center"/>
    </xf>
    <xf numFmtId="9" fontId="0" fillId="10" borderId="10" xfId="0" applyNumberFormat="1" applyFill="1" applyBorder="1"/>
    <xf numFmtId="0" fontId="0" fillId="12" borderId="10" xfId="0" applyFill="1" applyBorder="1" applyAlignment="1">
      <alignment horizontal="center"/>
    </xf>
    <xf numFmtId="44" fontId="0" fillId="0" borderId="0" xfId="1" applyNumberFormat="1" applyFont="1" applyFill="1" applyAlignment="1">
      <alignment horizontal="center"/>
    </xf>
    <xf numFmtId="9" fontId="0" fillId="13" borderId="10" xfId="0" applyNumberFormat="1" applyFill="1" applyBorder="1"/>
    <xf numFmtId="164" fontId="0" fillId="9" borderId="12" xfId="0" applyNumberFormat="1" applyFill="1" applyBorder="1" applyAlignment="1">
      <alignment horizontal="center"/>
    </xf>
    <xf numFmtId="164" fontId="3" fillId="14" borderId="1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indent="2"/>
    </xf>
    <xf numFmtId="0" fontId="5" fillId="11" borderId="10" xfId="0" applyFont="1" applyFill="1" applyBorder="1" applyAlignment="1">
      <alignment horizontal="center"/>
    </xf>
    <xf numFmtId="0" fontId="0" fillId="0" borderId="16" xfId="0" applyBorder="1" applyAlignment="1">
      <alignment vertical="top" wrapText="1"/>
    </xf>
    <xf numFmtId="0" fontId="0" fillId="3" borderId="10" xfId="0" applyFill="1" applyBorder="1"/>
    <xf numFmtId="44" fontId="0" fillId="0" borderId="17" xfId="1" applyFont="1" applyFill="1" applyBorder="1" applyAlignment="1">
      <alignment horizontal="center"/>
    </xf>
    <xf numFmtId="44" fontId="0" fillId="0" borderId="18" xfId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9" fontId="0" fillId="7" borderId="11" xfId="2" applyFont="1" applyFill="1" applyBorder="1" applyAlignment="1">
      <alignment horizontal="center"/>
    </xf>
    <xf numFmtId="9" fontId="6" fillId="0" borderId="17" xfId="2" applyFont="1" applyFill="1" applyBorder="1" applyAlignment="1">
      <alignment horizontal="center"/>
    </xf>
    <xf numFmtId="9" fontId="0" fillId="0" borderId="17" xfId="2" applyFont="1" applyFill="1" applyBorder="1" applyAlignment="1">
      <alignment horizontal="center"/>
    </xf>
    <xf numFmtId="9" fontId="0" fillId="0" borderId="18" xfId="2" applyFont="1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0" fillId="0" borderId="21" xfId="0" applyNumberFormat="1" applyFill="1" applyBorder="1" applyAlignment="1">
      <alignment horizontal="center"/>
    </xf>
    <xf numFmtId="0" fontId="0" fillId="0" borderId="22" xfId="0" applyNumberFormat="1" applyFill="1" applyBorder="1" applyAlignment="1">
      <alignment horizontal="center"/>
    </xf>
    <xf numFmtId="0" fontId="0" fillId="0" borderId="19" xfId="0" applyBorder="1"/>
    <xf numFmtId="44" fontId="0" fillId="9" borderId="11" xfId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6" fontId="0" fillId="0" borderId="10" xfId="0" applyNumberFormat="1" applyBorder="1" applyAlignment="1">
      <alignment horizontal="center"/>
    </xf>
    <xf numFmtId="0" fontId="0" fillId="13" borderId="16" xfId="0" applyFill="1" applyBorder="1" applyAlignment="1">
      <alignment horizontal="center"/>
    </xf>
    <xf numFmtId="0" fontId="0" fillId="13" borderId="16" xfId="0" applyNumberFormat="1" applyFill="1" applyBorder="1" applyAlignment="1">
      <alignment horizontal="center"/>
    </xf>
    <xf numFmtId="44" fontId="0" fillId="13" borderId="16" xfId="1" applyFont="1" applyFill="1" applyBorder="1" applyAlignment="1">
      <alignment horizontal="center"/>
    </xf>
    <xf numFmtId="44" fontId="0" fillId="13" borderId="18" xfId="1" applyFont="1" applyFill="1" applyBorder="1" applyAlignment="1">
      <alignment horizontal="center"/>
    </xf>
    <xf numFmtId="0" fontId="0" fillId="13" borderId="24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3" borderId="0" xfId="0" applyNumberFormat="1" applyFill="1" applyBorder="1" applyAlignment="1">
      <alignment horizontal="center"/>
    </xf>
    <xf numFmtId="44" fontId="0" fillId="13" borderId="0" xfId="1" applyFont="1" applyFill="1" applyBorder="1" applyAlignment="1">
      <alignment horizontal="center"/>
    </xf>
    <xf numFmtId="44" fontId="0" fillId="13" borderId="26" xfId="1" applyFont="1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0" fillId="13" borderId="25" xfId="0" applyFill="1" applyBorder="1" applyAlignment="1">
      <alignment horizontal="left"/>
    </xf>
    <xf numFmtId="0" fontId="0" fillId="13" borderId="11" xfId="0" applyFill="1" applyBorder="1" applyAlignment="1">
      <alignment horizontal="left"/>
    </xf>
    <xf numFmtId="0" fontId="8" fillId="13" borderId="23" xfId="0" applyFont="1" applyFill="1" applyBorder="1" applyAlignment="1">
      <alignment horizontal="left"/>
    </xf>
    <xf numFmtId="0" fontId="8" fillId="13" borderId="16" xfId="0" applyFont="1" applyFill="1" applyBorder="1" applyAlignment="1">
      <alignment horizontal="left"/>
    </xf>
    <xf numFmtId="0" fontId="0" fillId="13" borderId="0" xfId="0" applyFill="1" applyBorder="1" applyAlignment="1">
      <alignment horizontal="left"/>
    </xf>
    <xf numFmtId="0" fontId="0" fillId="13" borderId="26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7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ck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0" formatCode="&quot;$&quot;#,##0_);[Red]\(&quot;$&quot;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000000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theme="9" tint="-0.24994659260841701"/>
        </patternFill>
      </fill>
    </dxf>
    <dxf>
      <font>
        <b/>
        <i/>
        <color theme="0"/>
      </font>
      <fill>
        <patternFill>
          <bgColor theme="9" tint="-0.2499465926084170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theme="9" tint="-0.2499465926084170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theme="9" tint="-0.2499465926084170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theme="9" tint="-0.24994659260841701"/>
        </patternFill>
      </fill>
    </dxf>
    <dxf>
      <font>
        <b/>
        <i/>
        <color theme="0"/>
      </font>
      <fill>
        <patternFill>
          <bgColor theme="9" tint="-0.2499465926084170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theme="9" tint="-0.24994659260841701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 val="0"/>
        <i/>
        <color theme="0"/>
      </font>
      <fill>
        <patternFill>
          <bgColor rgb="FFC00000"/>
        </patternFill>
      </fill>
    </dxf>
    <dxf>
      <font>
        <b val="0"/>
        <i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1</xdr:row>
      <xdr:rowOff>19050</xdr:rowOff>
    </xdr:from>
    <xdr:to>
      <xdr:col>8</xdr:col>
      <xdr:colOff>19050</xdr:colOff>
      <xdr:row>5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15EDC5A4-AB96-4854-86E9-8E1B82573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209550"/>
          <a:ext cx="2209800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</xdr:row>
      <xdr:rowOff>19050</xdr:rowOff>
    </xdr:from>
    <xdr:to>
      <xdr:col>4</xdr:col>
      <xdr:colOff>619125</xdr:colOff>
      <xdr:row>5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BEA6810-1A8E-46D6-8FD6-D85047241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400050"/>
          <a:ext cx="3076575" cy="714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kM/Documents/UW%20319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Underwriting"/>
      <sheetName val="Rent Forecast"/>
      <sheetName val="HPA Forescast"/>
      <sheetName val="FullGradeOut"/>
      <sheetName val="Input Data"/>
      <sheetName val="HC Lead Feed"/>
      <sheetName val="ZWSID"/>
      <sheetName val="Rehab Matrix"/>
      <sheetName val="Underwriting Inputs"/>
      <sheetName val="Bid Properties"/>
      <sheetName val="Rejected Properties"/>
      <sheetName val="Other Inputs"/>
      <sheetName val="MSA_Lookup_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I2" t="str">
            <v>Level I</v>
          </cell>
        </row>
        <row r="3">
          <cell r="AI3" t="str">
            <v>Level II</v>
          </cell>
        </row>
        <row r="4">
          <cell r="AI4" t="str">
            <v>Level III</v>
          </cell>
        </row>
        <row r="5">
          <cell r="AI5" t="str">
            <v>Acq Type</v>
          </cell>
        </row>
        <row r="6">
          <cell r="AI6" t="str">
            <v>MLS Dynamic</v>
          </cell>
        </row>
        <row r="7">
          <cell r="AI7" t="str">
            <v>Auction</v>
          </cell>
        </row>
      </sheetData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id="1" name="Table1" displayName="Table1" ref="A1:AS33" totalsRowShown="0" headerRowDxfId="50" dataDxfId="48" headerRowBorderDxfId="49" tableBorderDxfId="47" totalsRowBorderDxfId="46">
  <autoFilter ref="A1:AS33"/>
  <tableColumns count="45">
    <tableColumn id="46" name="Source" dataDxfId="45"/>
    <tableColumn id="28" name="Address" dataDxfId="44"/>
    <tableColumn id="2" name="City" dataDxfId="43"/>
    <tableColumn id="7" name="State" dataDxfId="42"/>
    <tableColumn id="3" name="Zip" dataDxfId="41"/>
    <tableColumn id="40" name="Bed" dataDxfId="40"/>
    <tableColumn id="41" name="Bath" dataDxfId="39"/>
    <tableColumn id="42" name="Square Footage" dataDxfId="38"/>
    <tableColumn id="43" name="Year Built" dataDxfId="37" dataCellStyle="Currency"/>
    <tableColumn id="4" name="List Price" dataDxfId="36" dataCellStyle="Currency"/>
    <tableColumn id="21" name="Pool" dataDxfId="35"/>
    <tableColumn id="36" name="Water" dataDxfId="34"/>
    <tableColumn id="39" name="Sewer" dataDxfId="33"/>
    <tableColumn id="18" name="Annual HOA" dataDxfId="32" dataCellStyle="Currency"/>
    <tableColumn id="44" name="Annual Tax" dataDxfId="31" dataCellStyle="Currency"/>
    <tableColumn id="19" name="Est. Rehab" dataDxfId="30" dataCellStyle="Currency"/>
    <tableColumn id="5" name="Calculated Rehab" dataDxfId="29" dataCellStyle="Currency">
      <calculatedColumnFormula>IF(B2&lt;&gt;"", IF(A2&lt;&gt;"", IF(I2&lt;&gt;"", IF(H2&lt;&gt;"", IF(A2="MLS", VLOOKUP(I2,'Rehab Matrix'!A1:C201, 2,0)*H2, VLOOKUP(I2,'Rehab Matrix'!A1:C201, 3,0)*H2), "Enter Footage!"), "Enter Year Built!"), "Choose Source!"), "")</calculatedColumnFormula>
    </tableColumn>
    <tableColumn id="20" name="High Rehab $" dataDxfId="28" dataCellStyle="Currency">
      <calculatedColumnFormula>IF(Q2&gt;0, IF(P2&gt;Q2, P2, Q2), "")</calculatedColumnFormula>
    </tableColumn>
    <tableColumn id="33" name="ARV" dataDxfId="27" dataCellStyle="Currency"/>
    <tableColumn id="16" name="Suggested Offer Price" dataDxfId="26" dataCellStyle="Currency"/>
    <tableColumn id="23" name="FF Criteria 1" dataDxfId="25" dataCellStyle="Currency">
      <calculatedColumnFormula>AND(OR(FF_Sewer_1=M3,FF_Sewer_1="NA"),OR(FF_Water_1=L3,FF_Water_1="NA"),(OR(AND(FF_HOA_Allowed_1="No", N2=""), AND(FF_HOA_Allowed_1="Yes",OR( N2&lt;&gt;"", N2&gt;0, N2="")))),(OR(AND(FF_Pool_Allowed_1="No", K2="No"), AND(FF_Pool_Allowed_1="Yes", K2="Yes"), AND(FF_Pool_Allowed_1="Yes", K2="No"))),OR(I2&gt;FF_Year_Built_1,FF_Year_Built_1="NA"),J2&lt;FF_Max_Price_1, S2&lt;FF_Max_ARV_1,F2&gt;=FF_Beds_1,G2&gt;=FF_Baths_1,IF(FF_Min_Footage_1="NA",0=0,H2&gt;=FF_Min_Footage_1),IF(FF_Max_Footage_1="NA",0=0,H2&lt;=FF_Max_Footage_1),IF(FF_Max_Rehab_1="NA",0=0,R2&lt;=FF_Max_Rehab_1))</calculatedColumnFormula>
    </tableColumn>
    <tableColumn id="6" name="Fix &amp; Flip 1 ?" dataDxfId="24" dataCellStyle="Currency">
      <calculatedColumnFormula>IF(B2&lt;&gt;"", IF(U2=TRUE,IF(S2&gt;0, IF(1-(T2+R2+FF_Investor_Fee_1)/S2&gt;FF_ROI_1,"Yes","No"), "Enter an ARV!"), "No"), "")</calculatedColumnFormula>
    </tableColumn>
    <tableColumn id="24" name="FF Criteria 2" dataDxfId="23" dataCellStyle="Currency">
      <calculatedColumnFormula>AND(OR(FF_Sewer_2=M2,FF_Sewer_2="NA"),OR(FF_Water_2=L2,FF_Water_2="NA"),(OR(AND(FF_HOA_Allowed_2="No", N2=""), AND(FF_HOA_Allowed_2="Yes",OR( N2&lt;&gt;"", N2&gt;0, N2="")))),(OR(AND(FF_Pool_Allowed_2="No", K2="No"), AND(FF_Pool_Allowed_2="Yes", K2="Yes"), AND(FF_Pool_Allowed_2="Yes", K2="No"))),OR(I3&gt;FF_Year_Built_2,FF_Year_Built_2="NA"),J2&lt;FF_Max_Price_2, S2&lt;FF_Max_ARV_2,F2&gt;=FF_Beds_2,G2&gt;=FF_Baths_2,IF(FF_Min_Footage_2="NA",0=0,H2&gt;=FF_Min_Footage_2),IF(FF_Max_Footage_2="NA",0=0,H2&lt;=FF_Max_Footage_2),IF(FF_Max_Rehab_2="NA",0=0,R2&lt;=FF_Max_Rehab_2))</calculatedColumnFormula>
    </tableColumn>
    <tableColumn id="14" name="Fix &amp; Flip 2?" dataDxfId="22" dataCellStyle="Currency">
      <calculatedColumnFormula>IF(B2&lt;&gt;"", IF(W2=TRUE,IF(S2&gt;0, IF(1-(T2+R2+FF_Investor_Fee_2)/S2&gt;FF_ROI_2,"Yes","No"), "Enter an ARV!"), "No"), "")</calculatedColumnFormula>
    </tableColumn>
    <tableColumn id="25" name="FF Criteria 3" dataDxfId="21" dataCellStyle="Currency">
      <calculatedColumnFormula>AND(OR(FF_Sewer_3=M2,FF_Sewer_3="NA"),OR(FF_Water_3=L2,FF_Water_3="NA"),(OR(AND(FF_HOA_Allowed_3="No", N2=""), AND(FF_HOA_Allowed_3="Yes",OR( N2&lt;&gt;"", N2&gt;0, N2="")))),(OR(AND(FF_Pool_Allowed_3="No", K2="No"), AND(FF_Pool_Allowed_3="Yes", K2="Yes"), AND(FF_Pool_Allowed_3="Yes", K2="No"))),OR(I3&gt;FF_Year_Built_3,FF_Year_Built_3="NA"),J2&lt;FF_Max_Price_3, S2&lt;FF_Max_ARV_3,F2&gt;=FF_Beds_3,G2&gt;=FF_Baths_3,IF(FF_Min_Footage_3="NA",0=0,H2&gt;=FF_Min_Footage_3),IF(FF_Max_Footage_3="NA",0=0,H2&lt;=FF_Max_Footage_3),IF(FF_Max_Rehab_3="NA",0=0,R2&lt;=FF_Max_Rehab_3))</calculatedColumnFormula>
    </tableColumn>
    <tableColumn id="17" name="Fix &amp; Flip 3?" dataDxfId="20" dataCellStyle="Currency">
      <calculatedColumnFormula>IF(B2&lt;&gt;"", IF(Y2=TRUE,IF(S2&gt;0, IF(1-(T2+R2+R2*FF_Investor_Fee_3)/S2&gt;FF_ROI_3,"Yes","No"), "Enter an ARV!"), "No"), "")</calculatedColumnFormula>
    </tableColumn>
    <tableColumn id="15" name="Submit Fix &amp; Flip?" dataDxfId="19">
      <calculatedColumnFormula>IF(OR(V2="", X2="", Z2="")=FALSE, IF(OR(V2="Yes", X2="Yes", Z2="Yes")=TRUE, "Yes", "No"), "")</calculatedColumnFormula>
    </tableColumn>
    <tableColumn id="35" name="Current Monthly Rent" dataDxfId="18" dataCellStyle="Currency"/>
    <tableColumn id="9" name="Potential Rent - Monthly" dataDxfId="17" dataCellStyle="Currency"/>
    <tableColumn id="10" name="Potential Rent - Yearly" dataDxfId="16">
      <calculatedColumnFormula>IF(AC2&gt;0, AC2*12, "")</calculatedColumnFormula>
    </tableColumn>
    <tableColumn id="26" name="R&amp;M" dataDxfId="15"/>
    <tableColumn id="27" name="Turn" dataDxfId="14"/>
    <tableColumn id="29" name="CapEx" dataDxfId="13"/>
    <tableColumn id="22" name="Meets Criteria" dataDxfId="12" dataCellStyle="Percent">
      <calculatedColumnFormula>AND((OR(AND(FR_Pool_Allowed="No", K2="No"), AND(FR_Pool_Allowed="Yes", K2="Yes"), AND(FR_Pool_Allowed="Yes", K2="No"))),G2&gt;=FR_Min_Baths, F2&gt;=FR_Min_Beds,H2&gt;=FR_Min_Footage, R2&lt;FR_Max_Repairs, J2&gt;FR_Min_Price, AR2&lt;FR_Max_Price)</calculatedColumnFormula>
    </tableColumn>
    <tableColumn id="1" name="Submit Fix &amp; Rent?" dataDxfId="11">
      <calculatedColumnFormula>IF(B2&lt;&gt;"", IF(AH2=TRUE, IF(AP2&gt;=FR_Cap_Rate, "Yes", "No"), "No"), "")</calculatedColumnFormula>
    </tableColumn>
    <tableColumn id="13" name="Lease Fee" dataDxfId="10">
      <calculatedColumnFormula>IF(AC2&gt;0, ((AC2*Lease_Fee_Monthly)+Lease_Fee_Additional), "")</calculatedColumnFormula>
    </tableColumn>
    <tableColumn id="12" name="Property Mgmt" dataDxfId="9">
      <calculatedColumnFormula>IF(AN2&lt;&gt;"", (AN2*Property_Management), "")</calculatedColumnFormula>
    </tableColumn>
    <tableColumn id="30" name="Insurance" dataDxfId="8">
      <calculatedColumnFormula>IF(AD2&lt;&gt;"", ((H2*75+AD2)*VLOOKUP(Table1[[#This Row],[State]],Insurance!$A$2:$B$51,2,0)/100+Insurance!$J$2), "")</calculatedColumnFormula>
    </tableColumn>
    <tableColumn id="8" name="Bad Debt &amp; Vacancy " dataDxfId="7">
      <calculatedColumnFormula>IF(AC2&gt;0, (AC2*12*Vacancy_Factor), "")</calculatedColumnFormula>
    </tableColumn>
    <tableColumn id="11" name="Rent after Bad Debt &amp; Vacancy" dataDxfId="6">
      <calculatedColumnFormula>IF(AC2&gt;0, (AC2*12-AM2), "")</calculatedColumnFormula>
    </tableColumn>
    <tableColumn id="31" name="NOI" dataDxfId="5">
      <calculatedColumnFormula>IF(B2&lt;&gt;"",IF(AN2&gt;0, AN2-AJ2-AE2-AF2-AG2-AK2-AL2-N2-O2, "Enter Monthly Rent!"), "")</calculatedColumnFormula>
    </tableColumn>
    <tableColumn id="37" name="Fix &amp; Rent Cap Rate" dataDxfId="4" dataCellStyle="Percent">
      <calculatedColumnFormula>IF(J2&lt;&gt;"", (AD2/(J2+R2)), "")</calculatedColumnFormula>
    </tableColumn>
    <tableColumn id="38" name="Bid to Ask" dataDxfId="3" dataCellStyle="Percent">
      <calculatedColumnFormula>IF(J2&lt;&gt;"", AS2/J2, "")</calculatedColumnFormula>
    </tableColumn>
    <tableColumn id="32" name="Offer At Cap Rate" dataDxfId="2" dataCellStyle="Percent">
      <calculatedColumnFormula>IF(AO2&lt;&gt;"",AO2/(FR_Cap_Rate), "")</calculatedColumnFormula>
    </tableColumn>
    <tableColumn id="34" name="Offer inc. Rehab" dataDxfId="1" dataCellStyle="Percent">
      <calculatedColumnFormula>IF(AR2&lt;&gt;"", AR2-R2, "")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38"/>
  <sheetViews>
    <sheetView topLeftCell="B1" workbookViewId="0">
      <selection activeCell="Q15" sqref="Q15"/>
    </sheetView>
  </sheetViews>
  <sheetFormatPr defaultRowHeight="15" x14ac:dyDescent="0.25"/>
  <cols>
    <col min="2" max="2" width="26.85546875" customWidth="1"/>
    <col min="4" max="4" width="3.28515625" customWidth="1"/>
    <col min="5" max="5" width="27.7109375" customWidth="1"/>
    <col min="6" max="6" width="8.85546875" customWidth="1"/>
    <col min="7" max="7" width="3.140625" customWidth="1"/>
    <col min="8" max="8" width="28.42578125" customWidth="1"/>
    <col min="10" max="10" width="2.85546875" customWidth="1"/>
    <col min="11" max="11" width="26.85546875" customWidth="1"/>
    <col min="12" max="12" width="8.85546875" customWidth="1"/>
  </cols>
  <sheetData>
    <row r="10" spans="2:12" x14ac:dyDescent="0.25">
      <c r="B10" s="120" t="s">
        <v>158</v>
      </c>
      <c r="C10" s="120"/>
      <c r="D10" s="23"/>
      <c r="E10" s="121" t="s">
        <v>159</v>
      </c>
      <c r="F10" s="121"/>
      <c r="H10" s="121" t="s">
        <v>160</v>
      </c>
      <c r="I10" s="121"/>
      <c r="K10" s="121" t="s">
        <v>161</v>
      </c>
      <c r="L10" s="121"/>
    </row>
    <row r="11" spans="2:12" x14ac:dyDescent="0.25">
      <c r="B11" s="24" t="s">
        <v>95</v>
      </c>
      <c r="C11" s="74">
        <v>0.05</v>
      </c>
      <c r="E11" s="24" t="s">
        <v>146</v>
      </c>
      <c r="F11" s="25">
        <v>0.19</v>
      </c>
      <c r="H11" s="24" t="s">
        <v>146</v>
      </c>
      <c r="I11" s="74">
        <v>0.05</v>
      </c>
      <c r="K11" s="24" t="s">
        <v>146</v>
      </c>
      <c r="L11" s="84">
        <v>0.15</v>
      </c>
    </row>
    <row r="12" spans="2:12" x14ac:dyDescent="0.25">
      <c r="B12" s="24" t="s">
        <v>96</v>
      </c>
      <c r="C12" s="74">
        <v>7.0000000000000007E-2</v>
      </c>
      <c r="E12" s="24" t="s">
        <v>103</v>
      </c>
      <c r="F12" s="81">
        <v>3</v>
      </c>
      <c r="H12" s="24" t="s">
        <v>103</v>
      </c>
      <c r="I12" s="81">
        <v>3</v>
      </c>
      <c r="K12" s="24" t="s">
        <v>103</v>
      </c>
      <c r="L12" s="81">
        <v>3</v>
      </c>
    </row>
    <row r="13" spans="2:12" x14ac:dyDescent="0.25">
      <c r="B13" s="24" t="s">
        <v>98</v>
      </c>
      <c r="C13" s="74">
        <v>0.25</v>
      </c>
      <c r="E13" s="24" t="s">
        <v>104</v>
      </c>
      <c r="F13" s="81">
        <v>2</v>
      </c>
      <c r="H13" s="24" t="s">
        <v>104</v>
      </c>
      <c r="I13" s="81">
        <v>2</v>
      </c>
      <c r="K13" s="24" t="s">
        <v>104</v>
      </c>
      <c r="L13" s="81">
        <v>2</v>
      </c>
    </row>
    <row r="14" spans="2:12" x14ac:dyDescent="0.25">
      <c r="B14" s="24" t="s">
        <v>99</v>
      </c>
      <c r="C14" s="75">
        <v>250</v>
      </c>
      <c r="E14" s="27" t="s">
        <v>123</v>
      </c>
      <c r="F14" s="77" t="s">
        <v>129</v>
      </c>
      <c r="H14" s="27" t="s">
        <v>123</v>
      </c>
      <c r="I14" s="77" t="s">
        <v>129</v>
      </c>
      <c r="K14" s="27" t="s">
        <v>123</v>
      </c>
      <c r="L14" s="77" t="s">
        <v>129</v>
      </c>
    </row>
    <row r="15" spans="2:12" x14ac:dyDescent="0.25">
      <c r="B15" s="24" t="s">
        <v>115</v>
      </c>
      <c r="C15" s="74">
        <v>5.5E-2</v>
      </c>
      <c r="E15" s="27" t="s">
        <v>131</v>
      </c>
      <c r="F15" s="77" t="s">
        <v>129</v>
      </c>
      <c r="H15" s="27" t="s">
        <v>131</v>
      </c>
      <c r="I15" s="77" t="s">
        <v>129</v>
      </c>
      <c r="K15" s="27" t="s">
        <v>131</v>
      </c>
      <c r="L15" s="77" t="s">
        <v>129</v>
      </c>
    </row>
    <row r="16" spans="2:12" x14ac:dyDescent="0.25">
      <c r="B16" s="27" t="s">
        <v>121</v>
      </c>
      <c r="C16" s="73">
        <v>3</v>
      </c>
      <c r="E16" s="27" t="s">
        <v>130</v>
      </c>
      <c r="F16" s="77" t="s">
        <v>129</v>
      </c>
      <c r="H16" s="27" t="s">
        <v>130</v>
      </c>
      <c r="I16" s="77" t="s">
        <v>129</v>
      </c>
      <c r="K16" s="27" t="s">
        <v>130</v>
      </c>
      <c r="L16" s="77" t="s">
        <v>129</v>
      </c>
    </row>
    <row r="17" spans="1:12" x14ac:dyDescent="0.25">
      <c r="B17" s="27" t="s">
        <v>122</v>
      </c>
      <c r="C17" s="73">
        <v>1.5</v>
      </c>
      <c r="E17" s="24" t="s">
        <v>105</v>
      </c>
      <c r="F17" s="81">
        <v>900000</v>
      </c>
      <c r="H17" s="24" t="s">
        <v>105</v>
      </c>
      <c r="I17" s="77" t="s">
        <v>129</v>
      </c>
      <c r="K17" s="24" t="s">
        <v>105</v>
      </c>
      <c r="L17" s="81">
        <v>500000</v>
      </c>
    </row>
    <row r="18" spans="1:12" x14ac:dyDescent="0.25">
      <c r="B18" s="27" t="s">
        <v>123</v>
      </c>
      <c r="C18" s="73">
        <v>1000</v>
      </c>
      <c r="E18" s="27" t="s">
        <v>128</v>
      </c>
      <c r="F18" s="81">
        <v>900000</v>
      </c>
      <c r="H18" s="27" t="s">
        <v>128</v>
      </c>
      <c r="I18" s="77" t="s">
        <v>129</v>
      </c>
      <c r="K18" s="27" t="s">
        <v>128</v>
      </c>
      <c r="L18" s="81">
        <v>500000</v>
      </c>
    </row>
    <row r="19" spans="1:12" x14ac:dyDescent="0.25">
      <c r="B19" s="27" t="s">
        <v>124</v>
      </c>
      <c r="C19" s="73">
        <v>75000</v>
      </c>
      <c r="E19" s="27" t="s">
        <v>7</v>
      </c>
      <c r="F19" s="83">
        <v>1950</v>
      </c>
      <c r="H19" s="27" t="s">
        <v>7</v>
      </c>
      <c r="I19" s="83">
        <v>1950</v>
      </c>
      <c r="K19" s="27" t="s">
        <v>7</v>
      </c>
      <c r="L19" s="83" t="s">
        <v>129</v>
      </c>
    </row>
    <row r="20" spans="1:12" x14ac:dyDescent="0.25">
      <c r="B20" s="27" t="s">
        <v>125</v>
      </c>
      <c r="C20" s="73">
        <v>75000</v>
      </c>
      <c r="E20" s="27" t="s">
        <v>132</v>
      </c>
      <c r="F20" s="77" t="s">
        <v>40</v>
      </c>
      <c r="H20" s="27" t="s">
        <v>132</v>
      </c>
      <c r="I20" s="77" t="s">
        <v>40</v>
      </c>
      <c r="K20" s="27" t="s">
        <v>132</v>
      </c>
      <c r="L20" s="77" t="s">
        <v>127</v>
      </c>
    </row>
    <row r="21" spans="1:12" x14ac:dyDescent="0.25">
      <c r="B21" s="27" t="s">
        <v>105</v>
      </c>
      <c r="C21" s="73">
        <v>250000</v>
      </c>
      <c r="E21" s="27" t="s">
        <v>126</v>
      </c>
      <c r="F21" s="77" t="s">
        <v>40</v>
      </c>
      <c r="H21" s="27" t="s">
        <v>126</v>
      </c>
      <c r="I21" s="77" t="s">
        <v>40</v>
      </c>
      <c r="K21" s="27" t="s">
        <v>126</v>
      </c>
      <c r="L21" s="77" t="s">
        <v>127</v>
      </c>
    </row>
    <row r="22" spans="1:12" x14ac:dyDescent="0.25">
      <c r="B22" s="27" t="s">
        <v>126</v>
      </c>
      <c r="C22" s="77" t="s">
        <v>127</v>
      </c>
      <c r="E22" s="27" t="s">
        <v>134</v>
      </c>
      <c r="F22" s="83" t="s">
        <v>136</v>
      </c>
      <c r="H22" s="27" t="s">
        <v>134</v>
      </c>
      <c r="I22" s="83" t="s">
        <v>129</v>
      </c>
      <c r="K22" s="27" t="s">
        <v>134</v>
      </c>
      <c r="L22" s="83" t="s">
        <v>136</v>
      </c>
    </row>
    <row r="23" spans="1:12" x14ac:dyDescent="0.25">
      <c r="A23" s="65"/>
      <c r="B23" s="71"/>
      <c r="C23" s="65"/>
      <c r="E23" s="27" t="s">
        <v>135</v>
      </c>
      <c r="F23" s="83" t="s">
        <v>136</v>
      </c>
      <c r="H23" s="27" t="s">
        <v>135</v>
      </c>
      <c r="I23" s="83" t="s">
        <v>129</v>
      </c>
      <c r="K23" s="27" t="s">
        <v>135</v>
      </c>
      <c r="L23" s="83" t="s">
        <v>136</v>
      </c>
    </row>
    <row r="24" spans="1:12" x14ac:dyDescent="0.25">
      <c r="A24" s="65"/>
      <c r="B24" s="72"/>
      <c r="C24" s="65"/>
      <c r="E24" s="24" t="s">
        <v>144</v>
      </c>
      <c r="F24" s="81">
        <v>3500</v>
      </c>
      <c r="H24" s="24" t="s">
        <v>116</v>
      </c>
      <c r="I24" s="81">
        <v>7500</v>
      </c>
      <c r="K24" s="24" t="s">
        <v>147</v>
      </c>
      <c r="L24" s="87">
        <v>0.18</v>
      </c>
    </row>
    <row r="25" spans="1:12" x14ac:dyDescent="0.25">
      <c r="E25" s="27" t="s">
        <v>125</v>
      </c>
      <c r="F25" s="77" t="s">
        <v>129</v>
      </c>
      <c r="H25" s="93" t="s">
        <v>125</v>
      </c>
      <c r="I25" s="77" t="s">
        <v>129</v>
      </c>
      <c r="K25" s="93" t="s">
        <v>125</v>
      </c>
      <c r="L25" s="77" t="s">
        <v>129</v>
      </c>
    </row>
    <row r="26" spans="1:12" x14ac:dyDescent="0.25">
      <c r="E26" s="27" t="s">
        <v>105</v>
      </c>
      <c r="F26" s="77" t="s">
        <v>129</v>
      </c>
      <c r="H26" s="93" t="s">
        <v>105</v>
      </c>
      <c r="I26" s="77" t="s">
        <v>129</v>
      </c>
      <c r="K26" s="93" t="s">
        <v>105</v>
      </c>
      <c r="L26" s="77" t="s">
        <v>129</v>
      </c>
    </row>
    <row r="27" spans="1:12" x14ac:dyDescent="0.25">
      <c r="K27" s="82" t="s">
        <v>145</v>
      </c>
      <c r="L27" s="85" t="s">
        <v>40</v>
      </c>
    </row>
    <row r="28" spans="1:12" x14ac:dyDescent="0.25">
      <c r="K28" s="92"/>
    </row>
    <row r="29" spans="1:12" x14ac:dyDescent="0.25">
      <c r="K29" s="90" t="s">
        <v>148</v>
      </c>
    </row>
    <row r="30" spans="1:12" x14ac:dyDescent="0.25">
      <c r="K30" s="90" t="s">
        <v>149</v>
      </c>
    </row>
    <row r="31" spans="1:12" x14ac:dyDescent="0.25">
      <c r="K31" s="90" t="s">
        <v>150</v>
      </c>
    </row>
    <row r="32" spans="1:12" x14ac:dyDescent="0.25">
      <c r="K32" s="90" t="s">
        <v>151</v>
      </c>
    </row>
    <row r="33" spans="11:11" x14ac:dyDescent="0.25">
      <c r="K33" s="90" t="s">
        <v>152</v>
      </c>
    </row>
    <row r="34" spans="11:11" x14ac:dyDescent="0.25">
      <c r="K34" s="90" t="s">
        <v>153</v>
      </c>
    </row>
    <row r="35" spans="11:11" x14ac:dyDescent="0.25">
      <c r="K35" s="90" t="s">
        <v>154</v>
      </c>
    </row>
    <row r="36" spans="11:11" x14ac:dyDescent="0.25">
      <c r="K36" s="90" t="s">
        <v>155</v>
      </c>
    </row>
    <row r="37" spans="11:11" x14ac:dyDescent="0.25">
      <c r="K37" s="90" t="s">
        <v>156</v>
      </c>
    </row>
    <row r="38" spans="11:11" x14ac:dyDescent="0.25">
      <c r="K38" s="90" t="s">
        <v>157</v>
      </c>
    </row>
  </sheetData>
  <sheetProtection password="C521" sheet="1" objects="1" scenarios="1"/>
  <mergeCells count="4">
    <mergeCell ref="B10:C10"/>
    <mergeCell ref="E10:F10"/>
    <mergeCell ref="H10:I10"/>
    <mergeCell ref="K10:L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3"/>
  <sheetViews>
    <sheetView tabSelected="1" zoomScale="90" zoomScaleNormal="90" workbookViewId="0">
      <selection activeCell="S4" sqref="S4"/>
    </sheetView>
  </sheetViews>
  <sheetFormatPr defaultColWidth="9.140625" defaultRowHeight="15" x14ac:dyDescent="0.25"/>
  <cols>
    <col min="1" max="1" width="11.28515625" style="4" bestFit="1" customWidth="1"/>
    <col min="2" max="2" width="35.140625" style="4" customWidth="1"/>
    <col min="3" max="3" width="14.28515625" style="4" customWidth="1"/>
    <col min="4" max="4" width="10.7109375" style="4" bestFit="1" customWidth="1"/>
    <col min="5" max="5" width="8.7109375" style="4" bestFit="1" customWidth="1"/>
    <col min="6" max="6" width="9.5703125" style="6" bestFit="1" customWidth="1"/>
    <col min="7" max="7" width="10.140625" style="4" bestFit="1" customWidth="1"/>
    <col min="8" max="8" width="20" style="4" customWidth="1"/>
    <col min="9" max="9" width="15" style="4" customWidth="1"/>
    <col min="10" max="10" width="14.140625" style="1" customWidth="1"/>
    <col min="11" max="11" width="11.28515625" style="21" bestFit="1" customWidth="1"/>
    <col min="12" max="13" width="13" style="21" bestFit="1" customWidth="1"/>
    <col min="14" max="14" width="16.7109375" bestFit="1" customWidth="1"/>
    <col min="15" max="15" width="15.5703125" style="2" bestFit="1" customWidth="1"/>
    <col min="16" max="16" width="16" bestFit="1" customWidth="1"/>
    <col min="17" max="17" width="16.28515625" style="1" hidden="1" customWidth="1"/>
    <col min="18" max="18" width="22.5703125" style="4" hidden="1" customWidth="1"/>
    <col min="19" max="19" width="13.28515625" style="21" bestFit="1" customWidth="1"/>
    <col min="20" max="20" width="26.28515625" style="21" bestFit="1" customWidth="1"/>
    <col min="21" max="21" width="0" hidden="1" customWidth="1"/>
    <col min="22" max="22" width="22.5703125" style="21" hidden="1" customWidth="1"/>
    <col min="23" max="23" width="16.7109375" hidden="1" customWidth="1"/>
    <col min="24" max="24" width="17" hidden="1" customWidth="1"/>
    <col min="25" max="25" width="16.7109375" hidden="1" customWidth="1"/>
    <col min="26" max="26" width="16.42578125" style="107" hidden="1" customWidth="1"/>
    <col min="27" max="27" width="21.5703125" style="97" bestFit="1" customWidth="1"/>
    <col min="28" max="28" width="26.7109375" bestFit="1" customWidth="1"/>
    <col min="29" max="29" width="26.5703125" style="1" bestFit="1" customWidth="1"/>
    <col min="30" max="30" width="29" style="2" hidden="1" customWidth="1"/>
    <col min="31" max="31" width="0" hidden="1" customWidth="1"/>
    <col min="32" max="32" width="9.85546875" hidden="1" customWidth="1"/>
    <col min="33" max="33" width="11" hidden="1" customWidth="1"/>
    <col min="34" max="34" width="9.140625" hidden="1" customWidth="1"/>
    <col min="35" max="35" width="22.5703125" style="105" bestFit="1" customWidth="1"/>
    <col min="36" max="36" width="14.42578125" bestFit="1" customWidth="1"/>
    <col min="37" max="37" width="19.5703125" bestFit="1" customWidth="1"/>
    <col min="38" max="38" width="14.140625" bestFit="1" customWidth="1"/>
    <col min="39" max="39" width="23.5703125" bestFit="1" customWidth="1"/>
    <col min="40" max="40" width="32.85546875" bestFit="1" customWidth="1"/>
    <col min="41" max="41" width="9.85546875" bestFit="1" customWidth="1"/>
    <col min="42" max="42" width="23" bestFit="1" customWidth="1"/>
    <col min="43" max="43" width="14.42578125" bestFit="1" customWidth="1"/>
    <col min="44" max="44" width="21.28515625" bestFit="1" customWidth="1"/>
    <col min="45" max="45" width="19.85546875" style="26" bestFit="1" customWidth="1"/>
    <col min="46" max="46" width="20.140625" style="26" customWidth="1"/>
    <col min="47" max="47" width="23.5703125" bestFit="1" customWidth="1"/>
    <col min="48" max="48" width="21.28515625" bestFit="1" customWidth="1"/>
    <col min="49" max="49" width="19.85546875" bestFit="1" customWidth="1"/>
    <col min="51" max="51" width="21.28515625" bestFit="1" customWidth="1"/>
    <col min="52" max="52" width="14.7109375" bestFit="1" customWidth="1"/>
    <col min="53" max="53" width="24.7109375" customWidth="1"/>
    <col min="54" max="54" width="14.42578125" style="2" bestFit="1" customWidth="1"/>
    <col min="55" max="55" width="12.28515625" customWidth="1"/>
    <col min="57" max="57" width="23.28515625" style="5" bestFit="1" customWidth="1"/>
    <col min="58" max="58" width="26.140625" style="1" customWidth="1"/>
    <col min="59" max="59" width="23" customWidth="1"/>
    <col min="62" max="62" width="13.85546875" style="2" customWidth="1"/>
    <col min="63" max="63" width="12.140625" customWidth="1"/>
    <col min="64" max="64" width="23.28515625" bestFit="1" customWidth="1"/>
    <col min="65" max="65" width="23.28515625" customWidth="1"/>
    <col min="66" max="66" width="21.5703125" customWidth="1"/>
    <col min="73" max="74" width="16.42578125" hidden="1" customWidth="1"/>
    <col min="75" max="75" width="19.42578125" style="4" bestFit="1" customWidth="1"/>
    <col min="76" max="76" width="16" style="2" bestFit="1" customWidth="1"/>
    <col min="77" max="78" width="14" style="2" bestFit="1" customWidth="1"/>
    <col min="79" max="79" width="21.28515625" bestFit="1" customWidth="1"/>
    <col min="81" max="81" width="22" bestFit="1" customWidth="1"/>
    <col min="82" max="82" width="19.42578125" style="4" bestFit="1" customWidth="1"/>
    <col min="83" max="83" width="14.28515625" style="3" bestFit="1" customWidth="1"/>
    <col min="84" max="84" width="12.7109375" style="3" bestFit="1" customWidth="1"/>
    <col min="85" max="85" width="18.5703125" style="3" customWidth="1"/>
    <col min="86" max="86" width="17.42578125" style="22" customWidth="1"/>
    <col min="87" max="87" width="12.5703125" style="4" bestFit="1" customWidth="1"/>
    <col min="88" max="88" width="22" style="4" bestFit="1" customWidth="1"/>
    <col min="89" max="16384" width="9.140625" style="4"/>
  </cols>
  <sheetData>
    <row r="1" spans="1:86" x14ac:dyDescent="0.25">
      <c r="A1" s="31" t="s">
        <v>10</v>
      </c>
      <c r="B1" s="32" t="s">
        <v>0</v>
      </c>
      <c r="C1" s="32" t="s">
        <v>1</v>
      </c>
      <c r="D1" s="32" t="s">
        <v>2</v>
      </c>
      <c r="E1" s="32" t="s">
        <v>3</v>
      </c>
      <c r="F1" s="33" t="s">
        <v>4</v>
      </c>
      <c r="G1" s="32" t="s">
        <v>5</v>
      </c>
      <c r="H1" s="32" t="s">
        <v>6</v>
      </c>
      <c r="I1" s="32" t="s">
        <v>7</v>
      </c>
      <c r="J1" s="34" t="s">
        <v>114</v>
      </c>
      <c r="K1" s="34" t="s">
        <v>133</v>
      </c>
      <c r="L1" s="34" t="s">
        <v>134</v>
      </c>
      <c r="M1" s="34" t="s">
        <v>135</v>
      </c>
      <c r="N1" s="35" t="s">
        <v>101</v>
      </c>
      <c r="O1" s="35" t="s">
        <v>102</v>
      </c>
      <c r="P1" s="64" t="s">
        <v>106</v>
      </c>
      <c r="Q1" s="34" t="s">
        <v>119</v>
      </c>
      <c r="R1" s="64" t="s">
        <v>143</v>
      </c>
      <c r="S1" s="34" t="s">
        <v>9</v>
      </c>
      <c r="T1" s="64" t="s">
        <v>118</v>
      </c>
      <c r="U1" s="80" t="s">
        <v>140</v>
      </c>
      <c r="V1" s="78" t="s">
        <v>107</v>
      </c>
      <c r="W1" s="78" t="s">
        <v>141</v>
      </c>
      <c r="X1" s="78" t="s">
        <v>108</v>
      </c>
      <c r="Y1" s="79" t="s">
        <v>142</v>
      </c>
      <c r="Z1" s="91" t="s">
        <v>117</v>
      </c>
      <c r="AA1" s="108" t="s">
        <v>162</v>
      </c>
      <c r="AB1" s="106" t="s">
        <v>8</v>
      </c>
      <c r="AC1" s="64" t="s">
        <v>111</v>
      </c>
      <c r="AD1" s="88" t="s">
        <v>112</v>
      </c>
      <c r="AE1" s="89" t="s">
        <v>88</v>
      </c>
      <c r="AF1" s="89" t="s">
        <v>89</v>
      </c>
      <c r="AG1" s="89" t="s">
        <v>90</v>
      </c>
      <c r="AH1" s="88" t="s">
        <v>139</v>
      </c>
      <c r="AI1" s="102" t="s">
        <v>163</v>
      </c>
      <c r="AJ1" s="37" t="s">
        <v>97</v>
      </c>
      <c r="AK1" s="37" t="s">
        <v>164</v>
      </c>
      <c r="AL1" s="37" t="s">
        <v>49</v>
      </c>
      <c r="AM1" s="37" t="s">
        <v>100</v>
      </c>
      <c r="AN1" s="37" t="s">
        <v>165</v>
      </c>
      <c r="AO1" s="70" t="s">
        <v>91</v>
      </c>
      <c r="AP1" s="69" t="s">
        <v>120</v>
      </c>
      <c r="AQ1" s="98" t="s">
        <v>92</v>
      </c>
      <c r="AR1" s="36" t="s">
        <v>137</v>
      </c>
      <c r="AS1" s="36" t="s">
        <v>138</v>
      </c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X1" s="4"/>
      <c r="BY1" s="4"/>
      <c r="BZ1" s="4"/>
      <c r="CA1" s="4"/>
      <c r="CB1" s="4"/>
      <c r="CC1" s="4"/>
      <c r="CE1" s="4"/>
      <c r="CF1" s="4"/>
      <c r="CG1" s="4"/>
      <c r="CH1" s="4"/>
    </row>
    <row r="2" spans="1:86" x14ac:dyDescent="0.25">
      <c r="A2" s="109" t="s">
        <v>11</v>
      </c>
      <c r="B2" s="38" t="s">
        <v>94</v>
      </c>
      <c r="C2" s="38" t="s">
        <v>93</v>
      </c>
      <c r="D2" s="39" t="s">
        <v>65</v>
      </c>
      <c r="E2" s="38">
        <v>63031</v>
      </c>
      <c r="F2" s="24">
        <v>3</v>
      </c>
      <c r="G2" s="24">
        <v>2</v>
      </c>
      <c r="H2" s="40">
        <v>1133</v>
      </c>
      <c r="I2" s="24">
        <v>1991</v>
      </c>
      <c r="J2" s="41">
        <v>93600</v>
      </c>
      <c r="K2" s="41" t="s">
        <v>127</v>
      </c>
      <c r="L2" s="41" t="s">
        <v>136</v>
      </c>
      <c r="M2" s="41" t="s">
        <v>136</v>
      </c>
      <c r="N2" s="24"/>
      <c r="O2" s="24">
        <v>1957</v>
      </c>
      <c r="P2" s="42">
        <v>12000</v>
      </c>
      <c r="Q2" s="42">
        <f>IF(B2&lt;&gt;"", IF(A2&lt;&gt;"", IF(I2&lt;&gt;"", IF(H2&lt;&gt;"", IF(A2="MLS", VLOOKUP(I2,'Rehab Matrix'!A1:C201, 2,0)*H2, VLOOKUP(I2,'Rehab Matrix'!A1:C201, 3,0)*H2), "Enter Footage!"), "Enter Year Built!"), "Choose Source!"), "")</f>
        <v>10197</v>
      </c>
      <c r="R2" s="42">
        <f t="shared" ref="R2:R33" si="0">IF(Q2&gt;0, IF(P2&gt;Q2, P2, Q2), "")</f>
        <v>12000</v>
      </c>
      <c r="S2" s="43">
        <v>150000</v>
      </c>
      <c r="T2" s="41">
        <v>89000</v>
      </c>
      <c r="U2" s="49" t="b">
        <f t="shared" ref="U2:U33" si="1">AND(OR(FF_Sewer_1=M3,FF_Sewer_1="NA"),OR(FF_Water_1=L3,FF_Water_1="NA"),(OR(AND(FF_HOA_Allowed_1="No", N2=""), AND(FF_HOA_Allowed_1="Yes",OR( N2&lt;&gt;"", N2&gt;0, N2="")))),(OR(AND(FF_Pool_Allowed_1="No", K2="No"), AND(FF_Pool_Allowed_1="Yes", K2="Yes"), AND(FF_Pool_Allowed_1="Yes", K2="No"))),OR(I2&gt;FF_Year_Built_1,FF_Year_Built_1="NA"),J2&lt;FF_Max_Price_1, S2&lt;FF_Max_ARV_1,F2&gt;=FF_Beds_1,G2&gt;=FF_Baths_1,IF(FF_Min_Footage_1="NA",0=0,H2&gt;=FF_Min_Footage_1),IF(FF_Max_Footage_1="NA",0=0,H2&lt;=FF_Max_Footage_1),IF(FF_Max_Rehab_1="NA",0=0,R2&lt;=FF_Max_Rehab_1))</f>
        <v>1</v>
      </c>
      <c r="V2" s="66" t="str">
        <f t="shared" ref="V2:V33" si="2">IF(B2&lt;&gt;"", IF(U2=TRUE,IF(S2&gt;0, IF(1-(T2+R2+FF_Investor_Fee_1)/S2&gt;FF_ROI_1,"Yes","No"), "Enter an ARV!"), "No"), "")</f>
        <v>Yes</v>
      </c>
      <c r="W2" s="66" t="b">
        <f t="shared" ref="W2:W33" si="3">AND(OR(FF_Sewer_2=M2,FF_Sewer_2="NA"),OR(FF_Water_2=L2,FF_Water_2="NA"),(OR(AND(FF_HOA_Allowed_2="No", N2=""), AND(FF_HOA_Allowed_2="Yes",OR( N2&lt;&gt;"", N2&gt;0, N2="")))),(OR(AND(FF_Pool_Allowed_2="No", K2="No"), AND(FF_Pool_Allowed_2="Yes", K2="Yes"), AND(FF_Pool_Allowed_2="Yes", K2="No"))),OR(I3&gt;FF_Year_Built_2,FF_Year_Built_2="NA"),J2&lt;FF_Max_Price_2, S2&lt;FF_Max_ARV_2,F2&gt;=FF_Beds_2,G2&gt;=FF_Baths_2,IF(FF_Min_Footage_2="NA",0=0,H2&gt;=FF_Min_Footage_2),IF(FF_Max_Footage_2="NA",0=0,H2&lt;=FF_Max_Footage_2),IF(FF_Max_Rehab_2="NA",0=0,R2&lt;=FF_Max_Rehab_2))</f>
        <v>1</v>
      </c>
      <c r="X2" s="50" t="str">
        <f t="shared" ref="X2:X33" si="4">IF(B2&lt;&gt;"", IF(W2=TRUE,IF(S2&gt;0, IF(1-(T2+R2+FF_Investor_Fee_2)/S2&gt;FF_ROI_2,"Yes","No"), "Enter an ARV!"), "No"), "")</f>
        <v>Yes</v>
      </c>
      <c r="Y2" s="51" t="b">
        <f t="shared" ref="Y2:Y33" si="5">AND(OR(FF_Sewer_3=M2,FF_Sewer_3="NA"),OR(FF_Water_3=L2,FF_Water_3="NA"),(OR(AND(FF_HOA_Allowed_3="No", N2=""), AND(FF_HOA_Allowed_3="Yes",OR( N2&lt;&gt;"", N2&gt;0, N2="")))),(OR(AND(FF_Pool_Allowed_3="No", K2="No"), AND(FF_Pool_Allowed_3="Yes", K2="Yes"), AND(FF_Pool_Allowed_3="Yes", K2="No"))),OR(I3&gt;FF_Year_Built_3,FF_Year_Built_3="NA"),J2&lt;FF_Max_Price_3, S2&lt;FF_Max_ARV_3,F2&gt;=FF_Beds_3,G2&gt;=FF_Baths_3,IF(FF_Min_Footage_3="NA",0=0,H2&gt;=FF_Min_Footage_3),IF(FF_Max_Footage_3="NA",0=0,H2&lt;=FF_Max_Footage_3),IF(FF_Max_Rehab_3="NA",0=0,R2&lt;=FF_Max_Rehab_3))</f>
        <v>1</v>
      </c>
      <c r="Z2" s="50" t="str">
        <f t="shared" ref="Z2:Z33" si="6">IF(B2&lt;&gt;"", IF(Y2=TRUE,IF(S2&gt;0, IF(1-(T2+R2+R2*FF_Investor_Fee_3)/S2&gt;FF_ROI_3,"Yes","No"), "Enter an ARV!"), "No"), "")</f>
        <v>Yes</v>
      </c>
      <c r="AA2" s="96" t="str">
        <f t="shared" ref="AA2:AA33" si="7">IF(OR(V2="", X2="", Z2="")=FALSE, IF(OR(V2="Yes", X2="Yes", Z2="Yes")=TRUE, "Yes", "No"), "")</f>
        <v>Yes</v>
      </c>
      <c r="AB2" s="94"/>
      <c r="AC2" s="43">
        <v>900</v>
      </c>
      <c r="AD2" s="44">
        <f t="shared" ref="AD2:AD33" si="8">IF(AC2&gt;0, AC2*12, "")</f>
        <v>10800</v>
      </c>
      <c r="AE2" s="46">
        <v>650</v>
      </c>
      <c r="AF2" s="46">
        <v>500</v>
      </c>
      <c r="AG2" s="46">
        <v>650</v>
      </c>
      <c r="AH2" s="47" t="b">
        <f t="shared" ref="AH2:AH33" si="9">AND((OR(AND(FR_Pool_Allowed="No", K2="No"), AND(FR_Pool_Allowed="Yes", K2="Yes"), AND(FR_Pool_Allowed="Yes", K2="No"))),G2&gt;=FR_Min_Baths, F2&gt;=FR_Min_Beds,H2&gt;=FR_Min_Footage, R2&lt;FR_Max_Repairs, J2&gt;FR_Min_Price, AR2&lt;FR_Max_Price)</f>
        <v>1</v>
      </c>
      <c r="AI2" s="103" t="str">
        <f t="shared" ref="AI2:AI33" si="10">IF(B2&lt;&gt;"", IF(AH2=TRUE, IF(AP2&gt;=FR_Cap_Rate, "Yes", "No"), "No"), "")</f>
        <v>Yes</v>
      </c>
      <c r="AJ2" s="45">
        <f t="shared" ref="AJ2:AJ33" si="11">IF(AC2&gt;0, ((AC2*Lease_Fee_Monthly)+Lease_Fee_Additional), "")</f>
        <v>475</v>
      </c>
      <c r="AK2" s="45">
        <f t="shared" ref="AK2:AK33" si="12">IF(AN2&lt;&gt;"", (AN2*Property_Management), "")</f>
        <v>718.2</v>
      </c>
      <c r="AL2" s="45">
        <f>IF(AD2&lt;&gt;"", ((H2*75+AD2)*VLOOKUP(Table1[[#This Row],[State]],Insurance!$A$2:$B$51,2,0)/100+Insurance!$J$2), "")</f>
        <v>412.32499999999999</v>
      </c>
      <c r="AM2" s="45">
        <f t="shared" ref="AM2:AM33" si="13">IF(AC2&gt;0, (AC2*12*Vacancy_Factor), "")</f>
        <v>540</v>
      </c>
      <c r="AN2" s="45">
        <f t="shared" ref="AN2:AN23" si="14">IF(AC2&gt;0, (AC2*12-AM2), "")</f>
        <v>10260</v>
      </c>
      <c r="AO2" s="45">
        <f t="shared" ref="AO2:AO33" si="15">IF(B2&lt;&gt;"",IF(AN2&gt;0, AN2-AJ2-AE2-AF2-AG2-AK2-AL2-N2-O2, "Enter Monthly Rent!"), "")</f>
        <v>4897.4750000000004</v>
      </c>
      <c r="AP2" s="48">
        <f t="shared" ref="AP2:AP33" si="16">IF(J2&lt;&gt;"", (AD2/(J2+R2)), "")</f>
        <v>0.10227272727272728</v>
      </c>
      <c r="AQ2" s="99">
        <f t="shared" ref="AQ2:AQ33" si="17">IF(J2&lt;&gt;"", AS2/J2, "")</f>
        <v>0.82313034188034184</v>
      </c>
      <c r="AR2" s="47">
        <f t="shared" ref="AR2:AR33" si="18">IF(AO2&lt;&gt;"",AO2/(FR_Cap_Rate), "")</f>
        <v>89045</v>
      </c>
      <c r="AS2" s="47">
        <f t="shared" ref="AS2:AS33" si="19">IF(AR2&lt;&gt;"", AR2-R2, "")</f>
        <v>77045</v>
      </c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X2" s="4"/>
      <c r="BY2" s="4"/>
      <c r="BZ2" s="4"/>
      <c r="CA2" s="4"/>
      <c r="CB2" s="4"/>
      <c r="CC2" s="4"/>
      <c r="CE2" s="4"/>
      <c r="CF2" s="4"/>
      <c r="CG2" s="4"/>
      <c r="CH2" s="4"/>
    </row>
    <row r="3" spans="1:86" x14ac:dyDescent="0.25">
      <c r="A3" s="4" t="s">
        <v>11</v>
      </c>
      <c r="B3" s="38" t="s">
        <v>109</v>
      </c>
      <c r="C3" s="38" t="s">
        <v>110</v>
      </c>
      <c r="D3" s="39" t="s">
        <v>83</v>
      </c>
      <c r="E3" s="38">
        <v>23114</v>
      </c>
      <c r="F3" s="24">
        <v>3</v>
      </c>
      <c r="G3" s="24">
        <v>2</v>
      </c>
      <c r="H3" s="40">
        <v>1660</v>
      </c>
      <c r="I3" s="24">
        <v>2011</v>
      </c>
      <c r="J3" s="41">
        <v>196000</v>
      </c>
      <c r="K3" s="41" t="s">
        <v>127</v>
      </c>
      <c r="L3" s="41" t="s">
        <v>136</v>
      </c>
      <c r="M3" s="41" t="s">
        <v>136</v>
      </c>
      <c r="N3" s="24"/>
      <c r="O3" s="24">
        <v>2245</v>
      </c>
      <c r="P3" s="42">
        <v>9000</v>
      </c>
      <c r="Q3" s="42">
        <f>IF(B3&lt;&gt;"", IF(A3&lt;&gt;"", IF(I3&lt;&gt;"", IF(H3&lt;&gt;"", IF(A3="MLS", VLOOKUP(I3,'Rehab Matrix'!A2:C202, 2,0)*H3, VLOOKUP(I3,'Rehab Matrix'!A2:C202, 3,0)*H3), "Enter Footage!"), "Enter Year Built!"), "Choose Source!"), "")</f>
        <v>7470</v>
      </c>
      <c r="R3" s="42">
        <f t="shared" si="0"/>
        <v>9000</v>
      </c>
      <c r="S3" s="43">
        <v>215000</v>
      </c>
      <c r="T3" s="41">
        <v>175000</v>
      </c>
      <c r="U3" s="49" t="b">
        <f t="shared" si="1"/>
        <v>0</v>
      </c>
      <c r="V3" s="66" t="str">
        <f t="shared" si="2"/>
        <v>No</v>
      </c>
      <c r="W3" s="66" t="b">
        <f t="shared" si="3"/>
        <v>0</v>
      </c>
      <c r="X3" s="50" t="str">
        <f t="shared" si="4"/>
        <v>No</v>
      </c>
      <c r="Y3" s="51" t="b">
        <f t="shared" si="5"/>
        <v>1</v>
      </c>
      <c r="Z3" s="50" t="str">
        <f t="shared" si="6"/>
        <v>No</v>
      </c>
      <c r="AA3" s="96" t="str">
        <f t="shared" si="7"/>
        <v>No</v>
      </c>
      <c r="AB3" s="94"/>
      <c r="AC3" s="43">
        <v>1200</v>
      </c>
      <c r="AD3" s="44">
        <f t="shared" si="8"/>
        <v>14400</v>
      </c>
      <c r="AE3" s="45"/>
      <c r="AF3" s="45"/>
      <c r="AG3" s="45"/>
      <c r="AH3" s="47" t="b">
        <f t="shared" si="9"/>
        <v>1</v>
      </c>
      <c r="AI3" s="103" t="str">
        <f t="shared" si="10"/>
        <v>Yes</v>
      </c>
      <c r="AJ3" s="45">
        <f t="shared" si="11"/>
        <v>550</v>
      </c>
      <c r="AK3" s="45">
        <f t="shared" si="12"/>
        <v>957.60000000000014</v>
      </c>
      <c r="AL3" s="45">
        <f>IF(AD3&lt;&gt;"", ((H3*75+AD3)*VLOOKUP(Table1[[#This Row],[State]],Insurance!$A$2:$B$51,2,0)/100+Insurance!$J$2), "")</f>
        <v>541.70000000000005</v>
      </c>
      <c r="AM3" s="45">
        <f t="shared" si="13"/>
        <v>720</v>
      </c>
      <c r="AN3" s="45">
        <f t="shared" si="14"/>
        <v>13680</v>
      </c>
      <c r="AO3" s="45">
        <f t="shared" si="15"/>
        <v>9385.6999999999989</v>
      </c>
      <c r="AP3" s="48">
        <f t="shared" si="16"/>
        <v>7.0243902439024397E-2</v>
      </c>
      <c r="AQ3" s="99">
        <f t="shared" si="17"/>
        <v>0.82474025974025955</v>
      </c>
      <c r="AR3" s="47">
        <f t="shared" si="18"/>
        <v>170649.09090909088</v>
      </c>
      <c r="AS3" s="47">
        <f t="shared" si="19"/>
        <v>161649.09090909088</v>
      </c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X3" s="4"/>
      <c r="BY3" s="4"/>
      <c r="BZ3" s="4"/>
      <c r="CA3" s="4"/>
      <c r="CB3" s="4"/>
      <c r="CC3" s="4"/>
      <c r="CE3" s="4"/>
      <c r="CF3" s="4"/>
      <c r="CG3" s="4"/>
      <c r="CH3" s="4"/>
    </row>
    <row r="4" spans="1:86" x14ac:dyDescent="0.25">
      <c r="B4" s="38"/>
      <c r="C4" s="38"/>
      <c r="D4" s="39"/>
      <c r="E4" s="38"/>
      <c r="F4" s="24"/>
      <c r="G4" s="24"/>
      <c r="H4" s="40"/>
      <c r="I4" s="24"/>
      <c r="J4" s="41"/>
      <c r="K4" s="41"/>
      <c r="L4" s="41"/>
      <c r="M4" s="41"/>
      <c r="N4" s="24"/>
      <c r="O4" s="24"/>
      <c r="P4" s="42"/>
      <c r="Q4" s="42" t="str">
        <f>IF(B4&lt;&gt;"", IF(A4&lt;&gt;"", IF(I4&lt;&gt;"", IF(H4&lt;&gt;"", IF(A4="MLS", VLOOKUP(I4,'Rehab Matrix'!A3:C203, 2,0)*H4, VLOOKUP(I4,'Rehab Matrix'!A3:C203, 3,0)*H4), "Enter Footage!"), "Enter Year Built!"), "Choose Source!"), "")</f>
        <v/>
      </c>
      <c r="R4" s="42" t="str">
        <f t="shared" si="0"/>
        <v/>
      </c>
      <c r="S4" s="42"/>
      <c r="T4" s="41"/>
      <c r="U4" s="49" t="b">
        <f t="shared" si="1"/>
        <v>0</v>
      </c>
      <c r="V4" s="66" t="str">
        <f t="shared" si="2"/>
        <v/>
      </c>
      <c r="W4" s="66" t="b">
        <f t="shared" si="3"/>
        <v>0</v>
      </c>
      <c r="X4" s="50" t="str">
        <f t="shared" si="4"/>
        <v/>
      </c>
      <c r="Y4" s="51" t="b">
        <f t="shared" si="5"/>
        <v>0</v>
      </c>
      <c r="Z4" s="50" t="str">
        <f t="shared" si="6"/>
        <v/>
      </c>
      <c r="AA4" s="96" t="str">
        <f t="shared" si="7"/>
        <v/>
      </c>
      <c r="AB4" s="94"/>
      <c r="AC4" s="43"/>
      <c r="AD4" s="44" t="str">
        <f t="shared" si="8"/>
        <v/>
      </c>
      <c r="AE4" s="45"/>
      <c r="AF4" s="45"/>
      <c r="AG4" s="45"/>
      <c r="AH4" s="47" t="b">
        <f t="shared" si="9"/>
        <v>0</v>
      </c>
      <c r="AI4" s="103" t="str">
        <f t="shared" si="10"/>
        <v/>
      </c>
      <c r="AJ4" s="45" t="str">
        <f t="shared" si="11"/>
        <v/>
      </c>
      <c r="AK4" s="45" t="str">
        <f t="shared" si="12"/>
        <v/>
      </c>
      <c r="AL4" s="45" t="str">
        <f>IF(AD4&lt;&gt;"", ((H4*75+AD4)*VLOOKUP(Table1[[#This Row],[State]],Insurance!$A$2:$B$51,2,0)/100+Insurance!$J$2), "")</f>
        <v/>
      </c>
      <c r="AM4" s="45" t="str">
        <f t="shared" si="13"/>
        <v/>
      </c>
      <c r="AN4" s="45" t="str">
        <f t="shared" si="14"/>
        <v/>
      </c>
      <c r="AO4" s="45" t="str">
        <f t="shared" si="15"/>
        <v/>
      </c>
      <c r="AP4" s="48" t="str">
        <f t="shared" si="16"/>
        <v/>
      </c>
      <c r="AQ4" s="100" t="str">
        <f t="shared" si="17"/>
        <v/>
      </c>
      <c r="AR4" s="47" t="str">
        <f t="shared" si="18"/>
        <v/>
      </c>
      <c r="AS4" s="47" t="str">
        <f t="shared" si="19"/>
        <v/>
      </c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X4" s="4"/>
      <c r="BY4" s="4"/>
      <c r="BZ4" s="4"/>
      <c r="CA4" s="4"/>
      <c r="CB4" s="4"/>
      <c r="CC4" s="4"/>
      <c r="CE4" s="4"/>
      <c r="CF4" s="4"/>
      <c r="CG4" s="4"/>
      <c r="CH4" s="4"/>
    </row>
    <row r="5" spans="1:86" x14ac:dyDescent="0.25">
      <c r="B5" s="38"/>
      <c r="C5" s="38"/>
      <c r="D5" s="39"/>
      <c r="E5" s="38"/>
      <c r="F5" s="24"/>
      <c r="G5" s="24"/>
      <c r="H5" s="40"/>
      <c r="I5" s="24"/>
      <c r="J5" s="41"/>
      <c r="K5" s="41"/>
      <c r="L5" s="41"/>
      <c r="M5" s="41"/>
      <c r="N5" s="24"/>
      <c r="O5" s="24"/>
      <c r="P5" s="42"/>
      <c r="Q5" s="42" t="str">
        <f>IF(B5&lt;&gt;"", IF(A5&lt;&gt;"", IF(I5&lt;&gt;"", IF(H5&lt;&gt;"", IF(A5="MLS", VLOOKUP(I5,'Rehab Matrix'!A4:C204, 2,0)*H5, VLOOKUP(I5,'Rehab Matrix'!A4:C204, 3,0)*H5), "Enter Footage!"), "Enter Year Built!"), "Choose Source!"), "")</f>
        <v/>
      </c>
      <c r="R5" s="42" t="str">
        <f t="shared" si="0"/>
        <v/>
      </c>
      <c r="S5" s="43"/>
      <c r="T5" s="41"/>
      <c r="U5" s="49" t="b">
        <f t="shared" si="1"/>
        <v>0</v>
      </c>
      <c r="V5" s="66" t="str">
        <f t="shared" si="2"/>
        <v/>
      </c>
      <c r="W5" s="66" t="b">
        <f t="shared" si="3"/>
        <v>0</v>
      </c>
      <c r="X5" s="50" t="str">
        <f t="shared" si="4"/>
        <v/>
      </c>
      <c r="Y5" s="51" t="b">
        <f t="shared" si="5"/>
        <v>0</v>
      </c>
      <c r="Z5" s="50" t="str">
        <f t="shared" si="6"/>
        <v/>
      </c>
      <c r="AA5" s="96" t="str">
        <f t="shared" si="7"/>
        <v/>
      </c>
      <c r="AB5" s="94"/>
      <c r="AC5" s="43"/>
      <c r="AD5" s="44" t="str">
        <f t="shared" si="8"/>
        <v/>
      </c>
      <c r="AE5" s="45"/>
      <c r="AF5" s="45"/>
      <c r="AG5" s="45"/>
      <c r="AH5" s="47" t="b">
        <f t="shared" si="9"/>
        <v>0</v>
      </c>
      <c r="AI5" s="103" t="str">
        <f t="shared" si="10"/>
        <v/>
      </c>
      <c r="AJ5" s="45" t="str">
        <f t="shared" si="11"/>
        <v/>
      </c>
      <c r="AK5" s="45" t="str">
        <f t="shared" si="12"/>
        <v/>
      </c>
      <c r="AL5" s="45" t="str">
        <f>IF(AD5&lt;&gt;"", ((H5*75+AD5)*VLOOKUP(Table1[[#This Row],[State]],Insurance!$A$2:$B$51,2,0)/100+Insurance!$J$2), "")</f>
        <v/>
      </c>
      <c r="AM5" s="45" t="str">
        <f t="shared" si="13"/>
        <v/>
      </c>
      <c r="AN5" s="45" t="str">
        <f t="shared" si="14"/>
        <v/>
      </c>
      <c r="AO5" s="45" t="str">
        <f t="shared" si="15"/>
        <v/>
      </c>
      <c r="AP5" s="48" t="str">
        <f t="shared" si="16"/>
        <v/>
      </c>
      <c r="AQ5" s="100" t="str">
        <f t="shared" si="17"/>
        <v/>
      </c>
      <c r="AR5" s="47" t="str">
        <f t="shared" si="18"/>
        <v/>
      </c>
      <c r="AS5" s="47" t="str">
        <f t="shared" si="19"/>
        <v/>
      </c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X5" s="4"/>
      <c r="BY5" s="4"/>
      <c r="BZ5" s="4"/>
      <c r="CA5" s="4"/>
      <c r="CB5" s="4"/>
      <c r="CC5" s="4"/>
      <c r="CE5" s="4"/>
      <c r="CF5" s="4"/>
      <c r="CG5" s="4"/>
      <c r="CH5" s="4"/>
    </row>
    <row r="6" spans="1:86" x14ac:dyDescent="0.25">
      <c r="B6" s="38"/>
      <c r="C6" s="38"/>
      <c r="D6" s="39"/>
      <c r="E6" s="38"/>
      <c r="F6" s="24"/>
      <c r="G6" s="24"/>
      <c r="H6" s="40"/>
      <c r="I6" s="24"/>
      <c r="J6" s="41"/>
      <c r="K6" s="41"/>
      <c r="L6" s="41"/>
      <c r="M6" s="41"/>
      <c r="N6" s="24"/>
      <c r="O6" s="24"/>
      <c r="P6" s="42"/>
      <c r="Q6" s="42" t="str">
        <f>IF(B6&lt;&gt;"", IF(A6&lt;&gt;"", IF(I6&lt;&gt;"", IF(H6&lt;&gt;"", IF(A6="MLS", VLOOKUP(I6,'Rehab Matrix'!A5:C205, 2,0)*H6, VLOOKUP(I6,'Rehab Matrix'!A5:C205, 3,0)*H6), "Enter Footage!"), "Enter Year Built!"), "Choose Source!"), "")</f>
        <v/>
      </c>
      <c r="R6" s="42" t="str">
        <f t="shared" si="0"/>
        <v/>
      </c>
      <c r="S6" s="43"/>
      <c r="T6" s="41"/>
      <c r="U6" s="49" t="b">
        <f t="shared" si="1"/>
        <v>0</v>
      </c>
      <c r="V6" s="66" t="str">
        <f t="shared" si="2"/>
        <v/>
      </c>
      <c r="W6" s="66" t="b">
        <f t="shared" si="3"/>
        <v>0</v>
      </c>
      <c r="X6" s="50" t="str">
        <f t="shared" si="4"/>
        <v/>
      </c>
      <c r="Y6" s="51" t="b">
        <f t="shared" si="5"/>
        <v>0</v>
      </c>
      <c r="Z6" s="50" t="str">
        <f t="shared" si="6"/>
        <v/>
      </c>
      <c r="AA6" s="96" t="str">
        <f t="shared" si="7"/>
        <v/>
      </c>
      <c r="AB6" s="94"/>
      <c r="AC6" s="43"/>
      <c r="AD6" s="44" t="str">
        <f t="shared" si="8"/>
        <v/>
      </c>
      <c r="AE6" s="45"/>
      <c r="AF6" s="45"/>
      <c r="AG6" s="45"/>
      <c r="AH6" s="47" t="b">
        <f t="shared" si="9"/>
        <v>0</v>
      </c>
      <c r="AI6" s="103" t="str">
        <f t="shared" si="10"/>
        <v/>
      </c>
      <c r="AJ6" s="45" t="str">
        <f t="shared" si="11"/>
        <v/>
      </c>
      <c r="AK6" s="45" t="str">
        <f t="shared" si="12"/>
        <v/>
      </c>
      <c r="AL6" s="45" t="str">
        <f>IF(AD6&lt;&gt;"", ((H6*75+AD6)*VLOOKUP(Table1[[#This Row],[State]],Insurance!$A$2:$B$51,2,0)/100+Insurance!$J$2), "")</f>
        <v/>
      </c>
      <c r="AM6" s="45" t="str">
        <f t="shared" si="13"/>
        <v/>
      </c>
      <c r="AN6" s="45" t="str">
        <f t="shared" si="14"/>
        <v/>
      </c>
      <c r="AO6" s="45" t="str">
        <f t="shared" si="15"/>
        <v/>
      </c>
      <c r="AP6" s="48" t="str">
        <f t="shared" si="16"/>
        <v/>
      </c>
      <c r="AQ6" s="100" t="str">
        <f t="shared" si="17"/>
        <v/>
      </c>
      <c r="AR6" s="47" t="str">
        <f t="shared" si="18"/>
        <v/>
      </c>
      <c r="AS6" s="47" t="str">
        <f t="shared" si="19"/>
        <v/>
      </c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X6" s="4"/>
      <c r="BY6" s="4"/>
      <c r="BZ6" s="4"/>
      <c r="CA6" s="4"/>
      <c r="CB6" s="4"/>
      <c r="CC6" s="4"/>
      <c r="CE6" s="4"/>
      <c r="CF6" s="4"/>
      <c r="CG6" s="4"/>
      <c r="CH6" s="4"/>
    </row>
    <row r="7" spans="1:86" x14ac:dyDescent="0.25">
      <c r="B7" s="38"/>
      <c r="C7" s="38"/>
      <c r="D7" s="39"/>
      <c r="E7" s="38"/>
      <c r="F7" s="24"/>
      <c r="G7" s="24"/>
      <c r="H7" s="40"/>
      <c r="I7" s="24"/>
      <c r="J7" s="41"/>
      <c r="K7" s="41"/>
      <c r="L7" s="41"/>
      <c r="M7" s="41"/>
      <c r="N7" s="41"/>
      <c r="O7" s="24"/>
      <c r="P7" s="42"/>
      <c r="Q7" s="42" t="str">
        <f>IF(B7&lt;&gt;"", IF(A7&lt;&gt;"", IF(I7&lt;&gt;"", IF(H7&lt;&gt;"", IF(A7="MLS", VLOOKUP(I7,'Rehab Matrix'!A6:C206, 2,0)*H7, VLOOKUP(I7,'Rehab Matrix'!A6:C206, 3,0)*H7), "Enter Footage!"), "Enter Year Built!"), "Choose Source!"), "")</f>
        <v/>
      </c>
      <c r="R7" s="42" t="str">
        <f t="shared" si="0"/>
        <v/>
      </c>
      <c r="S7" s="43"/>
      <c r="T7" s="41"/>
      <c r="U7" s="49" t="b">
        <f t="shared" si="1"/>
        <v>0</v>
      </c>
      <c r="V7" s="66" t="str">
        <f t="shared" si="2"/>
        <v/>
      </c>
      <c r="W7" s="66" t="b">
        <f t="shared" si="3"/>
        <v>0</v>
      </c>
      <c r="X7" s="50" t="str">
        <f t="shared" si="4"/>
        <v/>
      </c>
      <c r="Y7" s="51" t="b">
        <f t="shared" si="5"/>
        <v>0</v>
      </c>
      <c r="Z7" s="50" t="str">
        <f t="shared" si="6"/>
        <v/>
      </c>
      <c r="AA7" s="96" t="str">
        <f t="shared" si="7"/>
        <v/>
      </c>
      <c r="AB7" s="94"/>
      <c r="AC7" s="43"/>
      <c r="AD7" s="44" t="str">
        <f t="shared" si="8"/>
        <v/>
      </c>
      <c r="AE7" s="45"/>
      <c r="AF7" s="45"/>
      <c r="AG7" s="45"/>
      <c r="AH7" s="47" t="b">
        <f t="shared" si="9"/>
        <v>0</v>
      </c>
      <c r="AI7" s="103" t="str">
        <f t="shared" si="10"/>
        <v/>
      </c>
      <c r="AJ7" s="45" t="str">
        <f t="shared" si="11"/>
        <v/>
      </c>
      <c r="AK7" s="45" t="str">
        <f t="shared" si="12"/>
        <v/>
      </c>
      <c r="AL7" s="45" t="str">
        <f>IF(AD7&lt;&gt;"", ((H7*75+AD7)*VLOOKUP(Table1[[#This Row],[State]],Insurance!$A$2:$B$51,2,0)/100+Insurance!$J$2), "")</f>
        <v/>
      </c>
      <c r="AM7" s="45" t="str">
        <f t="shared" si="13"/>
        <v/>
      </c>
      <c r="AN7" s="45" t="str">
        <f t="shared" si="14"/>
        <v/>
      </c>
      <c r="AO7" s="45" t="str">
        <f t="shared" si="15"/>
        <v/>
      </c>
      <c r="AP7" s="48" t="str">
        <f t="shared" si="16"/>
        <v/>
      </c>
      <c r="AQ7" s="100" t="str">
        <f t="shared" si="17"/>
        <v/>
      </c>
      <c r="AR7" s="47" t="str">
        <f t="shared" si="18"/>
        <v/>
      </c>
      <c r="AS7" s="47" t="str">
        <f t="shared" si="19"/>
        <v/>
      </c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X7" s="4"/>
      <c r="BY7" s="4"/>
      <c r="BZ7" s="4"/>
      <c r="CA7" s="4"/>
      <c r="CB7" s="4"/>
      <c r="CC7" s="4"/>
      <c r="CE7" s="4"/>
      <c r="CF7" s="4"/>
      <c r="CG7" s="4"/>
      <c r="CH7" s="4"/>
    </row>
    <row r="8" spans="1:86" x14ac:dyDescent="0.25">
      <c r="B8" s="38"/>
      <c r="C8" s="38"/>
      <c r="D8" s="39"/>
      <c r="E8" s="38"/>
      <c r="F8" s="24"/>
      <c r="G8" s="24"/>
      <c r="H8" s="40"/>
      <c r="I8" s="24"/>
      <c r="J8" s="41"/>
      <c r="K8" s="41"/>
      <c r="L8" s="41"/>
      <c r="M8" s="41"/>
      <c r="N8" s="24"/>
      <c r="O8" s="24"/>
      <c r="P8" s="42"/>
      <c r="Q8" s="42" t="str">
        <f>IF(B8&lt;&gt;"", IF(A8&lt;&gt;"", IF(I8&lt;&gt;"", IF(H8&lt;&gt;"", IF(A8="MLS", VLOOKUP(I8,'Rehab Matrix'!A7:C207, 2,0)*H8, VLOOKUP(I8,'Rehab Matrix'!A7:C207, 3,0)*H8), "Enter Footage!"), "Enter Year Built!"), "Choose Source!"), "")</f>
        <v/>
      </c>
      <c r="R8" s="42" t="str">
        <f t="shared" si="0"/>
        <v/>
      </c>
      <c r="S8" s="43"/>
      <c r="T8" s="41"/>
      <c r="U8" s="49" t="b">
        <f t="shared" si="1"/>
        <v>0</v>
      </c>
      <c r="V8" s="66" t="str">
        <f t="shared" si="2"/>
        <v/>
      </c>
      <c r="W8" s="66" t="b">
        <f t="shared" si="3"/>
        <v>0</v>
      </c>
      <c r="X8" s="50" t="str">
        <f t="shared" si="4"/>
        <v/>
      </c>
      <c r="Y8" s="51" t="b">
        <f t="shared" si="5"/>
        <v>0</v>
      </c>
      <c r="Z8" s="50" t="str">
        <f t="shared" si="6"/>
        <v/>
      </c>
      <c r="AA8" s="96" t="str">
        <f t="shared" si="7"/>
        <v/>
      </c>
      <c r="AB8" s="94"/>
      <c r="AC8" s="43"/>
      <c r="AD8" s="44" t="str">
        <f t="shared" si="8"/>
        <v/>
      </c>
      <c r="AE8" s="45"/>
      <c r="AF8" s="45"/>
      <c r="AG8" s="45"/>
      <c r="AH8" s="47" t="b">
        <f t="shared" si="9"/>
        <v>0</v>
      </c>
      <c r="AI8" s="103" t="str">
        <f t="shared" si="10"/>
        <v/>
      </c>
      <c r="AJ8" s="45" t="str">
        <f t="shared" si="11"/>
        <v/>
      </c>
      <c r="AK8" s="45" t="str">
        <f t="shared" si="12"/>
        <v/>
      </c>
      <c r="AL8" s="45" t="str">
        <f>IF(AD8&lt;&gt;"", ((H8*75+AD8)*VLOOKUP(Table1[[#This Row],[State]],Insurance!$A$2:$B$51,2,0)/100+Insurance!$J$2), "")</f>
        <v/>
      </c>
      <c r="AM8" s="45" t="str">
        <f t="shared" si="13"/>
        <v/>
      </c>
      <c r="AN8" s="45" t="str">
        <f t="shared" si="14"/>
        <v/>
      </c>
      <c r="AO8" s="45" t="str">
        <f t="shared" si="15"/>
        <v/>
      </c>
      <c r="AP8" s="48" t="str">
        <f t="shared" si="16"/>
        <v/>
      </c>
      <c r="AQ8" s="100" t="str">
        <f t="shared" si="17"/>
        <v/>
      </c>
      <c r="AR8" s="47" t="str">
        <f t="shared" si="18"/>
        <v/>
      </c>
      <c r="AS8" s="47" t="str">
        <f t="shared" si="19"/>
        <v/>
      </c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X8" s="4"/>
      <c r="BY8" s="4"/>
      <c r="BZ8" s="4"/>
      <c r="CA8" s="4"/>
      <c r="CB8" s="4"/>
      <c r="CC8" s="4"/>
      <c r="CE8" s="4"/>
      <c r="CF8" s="4"/>
      <c r="CG8" s="4"/>
      <c r="CH8" s="4"/>
    </row>
    <row r="9" spans="1:86" x14ac:dyDescent="0.25">
      <c r="B9" s="38"/>
      <c r="C9" s="38"/>
      <c r="D9" s="39"/>
      <c r="E9" s="38"/>
      <c r="F9" s="24"/>
      <c r="G9" s="24"/>
      <c r="H9" s="40"/>
      <c r="I9" s="24"/>
      <c r="J9" s="41"/>
      <c r="K9" s="41"/>
      <c r="L9" s="41"/>
      <c r="M9" s="41"/>
      <c r="N9" s="41"/>
      <c r="O9" s="24"/>
      <c r="P9" s="42"/>
      <c r="Q9" s="42" t="str">
        <f>IF(B9&lt;&gt;"", IF(A9&lt;&gt;"", IF(I9&lt;&gt;"", IF(H9&lt;&gt;"", IF(A9="MLS", VLOOKUP(I9,'Rehab Matrix'!A8:C208, 2,0)*H9, VLOOKUP(I9,'Rehab Matrix'!A8:C208, 3,0)*H9), "Enter Footage!"), "Enter Year Built!"), "Choose Source!"), "")</f>
        <v/>
      </c>
      <c r="R9" s="42" t="str">
        <f t="shared" si="0"/>
        <v/>
      </c>
      <c r="S9" s="43"/>
      <c r="T9" s="41"/>
      <c r="U9" s="49" t="b">
        <f t="shared" si="1"/>
        <v>0</v>
      </c>
      <c r="V9" s="66" t="str">
        <f t="shared" si="2"/>
        <v/>
      </c>
      <c r="W9" s="66" t="b">
        <f t="shared" si="3"/>
        <v>0</v>
      </c>
      <c r="X9" s="50" t="str">
        <f t="shared" si="4"/>
        <v/>
      </c>
      <c r="Y9" s="51" t="b">
        <f t="shared" si="5"/>
        <v>0</v>
      </c>
      <c r="Z9" s="50" t="str">
        <f t="shared" si="6"/>
        <v/>
      </c>
      <c r="AA9" s="96" t="str">
        <f t="shared" si="7"/>
        <v/>
      </c>
      <c r="AB9" s="94"/>
      <c r="AC9" s="43"/>
      <c r="AD9" s="44" t="str">
        <f t="shared" si="8"/>
        <v/>
      </c>
      <c r="AE9" s="45"/>
      <c r="AF9" s="45"/>
      <c r="AG9" s="45"/>
      <c r="AH9" s="47" t="b">
        <f t="shared" si="9"/>
        <v>0</v>
      </c>
      <c r="AI9" s="103" t="str">
        <f t="shared" si="10"/>
        <v/>
      </c>
      <c r="AJ9" s="45" t="str">
        <f t="shared" si="11"/>
        <v/>
      </c>
      <c r="AK9" s="45" t="str">
        <f t="shared" si="12"/>
        <v/>
      </c>
      <c r="AL9" s="45" t="str">
        <f>IF(AD9&lt;&gt;"", ((H9*75+AD9)*VLOOKUP(Table1[[#This Row],[State]],Insurance!$A$2:$B$51,2,0)/100+Insurance!$J$2), "")</f>
        <v/>
      </c>
      <c r="AM9" s="45" t="str">
        <f t="shared" si="13"/>
        <v/>
      </c>
      <c r="AN9" s="45" t="str">
        <f t="shared" si="14"/>
        <v/>
      </c>
      <c r="AO9" s="45" t="str">
        <f t="shared" si="15"/>
        <v/>
      </c>
      <c r="AP9" s="48" t="str">
        <f t="shared" si="16"/>
        <v/>
      </c>
      <c r="AQ9" s="100" t="str">
        <f t="shared" si="17"/>
        <v/>
      </c>
      <c r="AR9" s="47" t="str">
        <f t="shared" si="18"/>
        <v/>
      </c>
      <c r="AS9" s="47" t="str">
        <f t="shared" si="19"/>
        <v/>
      </c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X9" s="4"/>
      <c r="BY9" s="4"/>
      <c r="BZ9" s="4"/>
      <c r="CA9" s="4"/>
      <c r="CB9" s="4"/>
      <c r="CC9" s="4"/>
      <c r="CE9" s="4"/>
      <c r="CF9" s="4"/>
      <c r="CG9" s="4"/>
      <c r="CH9" s="4"/>
    </row>
    <row r="10" spans="1:86" x14ac:dyDescent="0.25">
      <c r="B10" s="38"/>
      <c r="C10" s="38"/>
      <c r="D10" s="39"/>
      <c r="E10" s="38"/>
      <c r="F10" s="24"/>
      <c r="G10" s="24"/>
      <c r="H10" s="40"/>
      <c r="I10" s="24"/>
      <c r="J10" s="41"/>
      <c r="K10" s="41"/>
      <c r="L10" s="41"/>
      <c r="M10" s="41"/>
      <c r="N10" s="24"/>
      <c r="O10" s="24"/>
      <c r="P10" s="42"/>
      <c r="Q10" s="42" t="str">
        <f>IF(B10&lt;&gt;"", IF(A10&lt;&gt;"", IF(I10&lt;&gt;"", IF(H10&lt;&gt;"", IF(A10="MLS", VLOOKUP(I10,'Rehab Matrix'!A9:C209, 2,0)*H10, VLOOKUP(I10,'Rehab Matrix'!A9:C209, 3,0)*H10), "Enter Footage!"), "Enter Year Built!"), "Choose Source!"), "")</f>
        <v/>
      </c>
      <c r="R10" s="42" t="str">
        <f t="shared" si="0"/>
        <v/>
      </c>
      <c r="S10" s="43"/>
      <c r="T10" s="41"/>
      <c r="U10" s="49" t="b">
        <f t="shared" si="1"/>
        <v>0</v>
      </c>
      <c r="V10" s="66" t="str">
        <f t="shared" si="2"/>
        <v/>
      </c>
      <c r="W10" s="66" t="b">
        <f t="shared" si="3"/>
        <v>0</v>
      </c>
      <c r="X10" s="50" t="str">
        <f t="shared" si="4"/>
        <v/>
      </c>
      <c r="Y10" s="51" t="b">
        <f t="shared" si="5"/>
        <v>0</v>
      </c>
      <c r="Z10" s="50" t="str">
        <f t="shared" si="6"/>
        <v/>
      </c>
      <c r="AA10" s="96" t="str">
        <f t="shared" si="7"/>
        <v/>
      </c>
      <c r="AB10" s="94"/>
      <c r="AC10" s="43"/>
      <c r="AD10" s="44" t="str">
        <f t="shared" si="8"/>
        <v/>
      </c>
      <c r="AE10" s="45"/>
      <c r="AF10" s="45"/>
      <c r="AG10" s="45"/>
      <c r="AH10" s="47" t="b">
        <f t="shared" si="9"/>
        <v>0</v>
      </c>
      <c r="AI10" s="103" t="str">
        <f t="shared" si="10"/>
        <v/>
      </c>
      <c r="AJ10" s="45" t="str">
        <f t="shared" si="11"/>
        <v/>
      </c>
      <c r="AK10" s="45" t="str">
        <f t="shared" si="12"/>
        <v/>
      </c>
      <c r="AL10" s="45" t="str">
        <f>IF(AD10&lt;&gt;"", ((H10*75+AD10)*VLOOKUP(Table1[[#This Row],[State]],Insurance!$A$2:$B$51,2,0)/100+Insurance!$J$2), "")</f>
        <v/>
      </c>
      <c r="AM10" s="45" t="str">
        <f t="shared" si="13"/>
        <v/>
      </c>
      <c r="AN10" s="45" t="str">
        <f t="shared" si="14"/>
        <v/>
      </c>
      <c r="AO10" s="45" t="str">
        <f t="shared" si="15"/>
        <v/>
      </c>
      <c r="AP10" s="48" t="str">
        <f t="shared" si="16"/>
        <v/>
      </c>
      <c r="AQ10" s="100" t="str">
        <f t="shared" si="17"/>
        <v/>
      </c>
      <c r="AR10" s="47" t="str">
        <f t="shared" si="18"/>
        <v/>
      </c>
      <c r="AS10" s="47" t="str">
        <f t="shared" si="19"/>
        <v/>
      </c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X10" s="4"/>
      <c r="BY10" s="4"/>
      <c r="BZ10" s="4"/>
      <c r="CA10" s="4"/>
      <c r="CB10" s="4"/>
      <c r="CC10" s="4"/>
      <c r="CE10" s="4"/>
      <c r="CF10" s="4"/>
      <c r="CG10" s="4"/>
      <c r="CH10" s="4"/>
    </row>
    <row r="11" spans="1:86" x14ac:dyDescent="0.25">
      <c r="B11" s="38"/>
      <c r="C11" s="38"/>
      <c r="D11" s="39"/>
      <c r="E11" s="38"/>
      <c r="F11" s="24"/>
      <c r="G11" s="24"/>
      <c r="H11" s="40"/>
      <c r="I11" s="24"/>
      <c r="J11" s="41"/>
      <c r="K11" s="41"/>
      <c r="L11" s="41"/>
      <c r="M11" s="41"/>
      <c r="N11" s="24"/>
      <c r="O11" s="24"/>
      <c r="P11" s="42"/>
      <c r="Q11" s="42" t="str">
        <f>IF(B11&lt;&gt;"", IF(A11&lt;&gt;"", IF(I11&lt;&gt;"", IF(H11&lt;&gt;"", IF(A11="MLS", VLOOKUP(I11,'Rehab Matrix'!A10:C210, 2,0)*H11, VLOOKUP(I11,'Rehab Matrix'!A10:C210, 3,0)*H11), "Enter Footage!"), "Enter Year Built!"), "Choose Source!"), "")</f>
        <v/>
      </c>
      <c r="R11" s="42" t="str">
        <f t="shared" si="0"/>
        <v/>
      </c>
      <c r="S11" s="43"/>
      <c r="T11" s="41"/>
      <c r="U11" s="49" t="b">
        <f t="shared" si="1"/>
        <v>0</v>
      </c>
      <c r="V11" s="66" t="str">
        <f t="shared" si="2"/>
        <v/>
      </c>
      <c r="W11" s="66" t="b">
        <f t="shared" si="3"/>
        <v>0</v>
      </c>
      <c r="X11" s="50" t="str">
        <f t="shared" si="4"/>
        <v/>
      </c>
      <c r="Y11" s="51" t="b">
        <f t="shared" si="5"/>
        <v>0</v>
      </c>
      <c r="Z11" s="50" t="str">
        <f t="shared" si="6"/>
        <v/>
      </c>
      <c r="AA11" s="96" t="str">
        <f t="shared" si="7"/>
        <v/>
      </c>
      <c r="AB11" s="94"/>
      <c r="AC11" s="43"/>
      <c r="AD11" s="44" t="str">
        <f t="shared" si="8"/>
        <v/>
      </c>
      <c r="AE11" s="45"/>
      <c r="AF11" s="45"/>
      <c r="AG11" s="45"/>
      <c r="AH11" s="47" t="b">
        <f t="shared" si="9"/>
        <v>0</v>
      </c>
      <c r="AI11" s="103" t="str">
        <f t="shared" si="10"/>
        <v/>
      </c>
      <c r="AJ11" s="45" t="str">
        <f t="shared" si="11"/>
        <v/>
      </c>
      <c r="AK11" s="45" t="str">
        <f t="shared" si="12"/>
        <v/>
      </c>
      <c r="AL11" s="45" t="str">
        <f>IF(AD11&lt;&gt;"", ((H11*75+AD11)*VLOOKUP(Table1[[#This Row],[State]],Insurance!$A$2:$B$51,2,0)/100+Insurance!$J$2), "")</f>
        <v/>
      </c>
      <c r="AM11" s="45" t="str">
        <f t="shared" si="13"/>
        <v/>
      </c>
      <c r="AN11" s="45" t="str">
        <f t="shared" si="14"/>
        <v/>
      </c>
      <c r="AO11" s="45" t="str">
        <f t="shared" si="15"/>
        <v/>
      </c>
      <c r="AP11" s="48" t="str">
        <f t="shared" si="16"/>
        <v/>
      </c>
      <c r="AQ11" s="100" t="str">
        <f t="shared" si="17"/>
        <v/>
      </c>
      <c r="AR11" s="47" t="str">
        <f t="shared" si="18"/>
        <v/>
      </c>
      <c r="AS11" s="47" t="str">
        <f t="shared" si="19"/>
        <v/>
      </c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X11" s="4"/>
      <c r="BY11" s="4"/>
      <c r="BZ11" s="4"/>
      <c r="CA11" s="4"/>
      <c r="CB11" s="4"/>
      <c r="CC11" s="4"/>
      <c r="CE11" s="4"/>
      <c r="CF11" s="4"/>
      <c r="CG11" s="4"/>
      <c r="CH11" s="4"/>
    </row>
    <row r="12" spans="1:86" x14ac:dyDescent="0.25">
      <c r="B12" s="38"/>
      <c r="C12" s="38"/>
      <c r="D12" s="39"/>
      <c r="E12" s="38"/>
      <c r="F12" s="24"/>
      <c r="G12" s="24"/>
      <c r="H12" s="40"/>
      <c r="I12" s="24"/>
      <c r="J12" s="41"/>
      <c r="K12" s="41"/>
      <c r="L12" s="41"/>
      <c r="M12" s="41"/>
      <c r="N12" s="24"/>
      <c r="O12" s="24"/>
      <c r="P12" s="42"/>
      <c r="Q12" s="42" t="str">
        <f>IF(B12&lt;&gt;"", IF(A12&lt;&gt;"", IF(I12&lt;&gt;"", IF(H12&lt;&gt;"", IF(A12="MLS", VLOOKUP(I12,'Rehab Matrix'!A11:C211, 2,0)*H12, VLOOKUP(I12,'Rehab Matrix'!A11:C211, 3,0)*H12), "Enter Footage!"), "Enter Year Built!"), "Choose Source!"), "")</f>
        <v/>
      </c>
      <c r="R12" s="42" t="str">
        <f t="shared" si="0"/>
        <v/>
      </c>
      <c r="S12" s="43"/>
      <c r="T12" s="41"/>
      <c r="U12" s="49" t="b">
        <f t="shared" si="1"/>
        <v>0</v>
      </c>
      <c r="V12" s="66" t="str">
        <f t="shared" si="2"/>
        <v/>
      </c>
      <c r="W12" s="66" t="b">
        <f t="shared" si="3"/>
        <v>0</v>
      </c>
      <c r="X12" s="50" t="str">
        <f t="shared" si="4"/>
        <v/>
      </c>
      <c r="Y12" s="51" t="b">
        <f t="shared" si="5"/>
        <v>0</v>
      </c>
      <c r="Z12" s="50" t="str">
        <f t="shared" si="6"/>
        <v/>
      </c>
      <c r="AA12" s="96" t="str">
        <f t="shared" si="7"/>
        <v/>
      </c>
      <c r="AB12" s="94"/>
      <c r="AC12" s="43"/>
      <c r="AD12" s="44" t="str">
        <f t="shared" si="8"/>
        <v/>
      </c>
      <c r="AE12" s="45"/>
      <c r="AF12" s="45"/>
      <c r="AG12" s="45"/>
      <c r="AH12" s="47" t="b">
        <f t="shared" si="9"/>
        <v>0</v>
      </c>
      <c r="AI12" s="103" t="str">
        <f t="shared" si="10"/>
        <v/>
      </c>
      <c r="AJ12" s="45" t="str">
        <f t="shared" si="11"/>
        <v/>
      </c>
      <c r="AK12" s="45" t="str">
        <f t="shared" si="12"/>
        <v/>
      </c>
      <c r="AL12" s="45" t="str">
        <f>IF(AD12&lt;&gt;"", ((H12*75+AD12)*VLOOKUP(Table1[[#This Row],[State]],Insurance!$A$2:$B$51,2,0)/100+Insurance!$J$2), "")</f>
        <v/>
      </c>
      <c r="AM12" s="45" t="str">
        <f t="shared" si="13"/>
        <v/>
      </c>
      <c r="AN12" s="45" t="str">
        <f t="shared" si="14"/>
        <v/>
      </c>
      <c r="AO12" s="45" t="str">
        <f t="shared" si="15"/>
        <v/>
      </c>
      <c r="AP12" s="48" t="str">
        <f t="shared" si="16"/>
        <v/>
      </c>
      <c r="AQ12" s="100" t="str">
        <f t="shared" si="17"/>
        <v/>
      </c>
      <c r="AR12" s="47" t="str">
        <f t="shared" si="18"/>
        <v/>
      </c>
      <c r="AS12" s="47" t="str">
        <f t="shared" si="19"/>
        <v/>
      </c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X12" s="4"/>
      <c r="BY12" s="4"/>
      <c r="BZ12" s="4"/>
      <c r="CA12" s="4"/>
      <c r="CB12" s="4"/>
      <c r="CC12" s="4"/>
      <c r="CE12" s="4"/>
      <c r="CF12" s="4"/>
      <c r="CG12" s="4"/>
      <c r="CH12" s="4"/>
    </row>
    <row r="13" spans="1:86" x14ac:dyDescent="0.25">
      <c r="B13" s="38"/>
      <c r="C13" s="38"/>
      <c r="D13" s="39"/>
      <c r="E13" s="38"/>
      <c r="F13" s="24"/>
      <c r="G13" s="24"/>
      <c r="H13" s="40"/>
      <c r="I13" s="24"/>
      <c r="J13" s="41"/>
      <c r="K13" s="41"/>
      <c r="L13" s="41"/>
      <c r="M13" s="41"/>
      <c r="N13" s="24"/>
      <c r="O13" s="24"/>
      <c r="P13" s="42"/>
      <c r="Q13" s="42" t="str">
        <f>IF(B13&lt;&gt;"", IF(A13&lt;&gt;"", IF(I13&lt;&gt;"", IF(H13&lt;&gt;"", IF(A13="MLS", VLOOKUP(I13,'Rehab Matrix'!A12:C212, 2,0)*H13, VLOOKUP(I13,'Rehab Matrix'!A12:C212, 3,0)*H13), "Enter Footage!"), "Enter Year Built!"), "Choose Source!"), "")</f>
        <v/>
      </c>
      <c r="R13" s="42" t="str">
        <f t="shared" si="0"/>
        <v/>
      </c>
      <c r="S13" s="43"/>
      <c r="T13" s="41"/>
      <c r="U13" s="49" t="b">
        <f t="shared" si="1"/>
        <v>0</v>
      </c>
      <c r="V13" s="66" t="str">
        <f t="shared" si="2"/>
        <v/>
      </c>
      <c r="W13" s="66" t="b">
        <f t="shared" si="3"/>
        <v>0</v>
      </c>
      <c r="X13" s="50" t="str">
        <f t="shared" si="4"/>
        <v/>
      </c>
      <c r="Y13" s="51" t="b">
        <f t="shared" si="5"/>
        <v>0</v>
      </c>
      <c r="Z13" s="50" t="str">
        <f t="shared" si="6"/>
        <v/>
      </c>
      <c r="AA13" s="96" t="str">
        <f t="shared" si="7"/>
        <v/>
      </c>
      <c r="AB13" s="94"/>
      <c r="AC13" s="43"/>
      <c r="AD13" s="44" t="str">
        <f t="shared" si="8"/>
        <v/>
      </c>
      <c r="AE13" s="45"/>
      <c r="AF13" s="45"/>
      <c r="AG13" s="45"/>
      <c r="AH13" s="47" t="b">
        <f t="shared" si="9"/>
        <v>0</v>
      </c>
      <c r="AI13" s="103" t="str">
        <f t="shared" si="10"/>
        <v/>
      </c>
      <c r="AJ13" s="45" t="str">
        <f t="shared" si="11"/>
        <v/>
      </c>
      <c r="AK13" s="45" t="str">
        <f t="shared" si="12"/>
        <v/>
      </c>
      <c r="AL13" s="45" t="str">
        <f>IF(AD13&lt;&gt;"", ((H13*75+AD13)*VLOOKUP(Table1[[#This Row],[State]],Insurance!$A$2:$B$51,2,0)/100+Insurance!$J$2), "")</f>
        <v/>
      </c>
      <c r="AM13" s="45" t="str">
        <f t="shared" si="13"/>
        <v/>
      </c>
      <c r="AN13" s="45" t="str">
        <f t="shared" si="14"/>
        <v/>
      </c>
      <c r="AO13" s="45" t="str">
        <f t="shared" si="15"/>
        <v/>
      </c>
      <c r="AP13" s="48" t="str">
        <f t="shared" si="16"/>
        <v/>
      </c>
      <c r="AQ13" s="100" t="str">
        <f t="shared" si="17"/>
        <v/>
      </c>
      <c r="AR13" s="47" t="str">
        <f t="shared" si="18"/>
        <v/>
      </c>
      <c r="AS13" s="47" t="str">
        <f t="shared" si="19"/>
        <v/>
      </c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X13" s="4"/>
      <c r="BY13" s="4"/>
      <c r="BZ13" s="4"/>
      <c r="CA13" s="4"/>
      <c r="CB13" s="4"/>
      <c r="CC13" s="4"/>
      <c r="CE13" s="4"/>
      <c r="CF13" s="4"/>
      <c r="CG13" s="4"/>
      <c r="CH13" s="4"/>
    </row>
    <row r="14" spans="1:86" x14ac:dyDescent="0.25">
      <c r="B14" s="38"/>
      <c r="C14" s="38"/>
      <c r="D14" s="39"/>
      <c r="E14" s="38"/>
      <c r="F14" s="24"/>
      <c r="G14" s="24"/>
      <c r="H14" s="40"/>
      <c r="I14" s="24"/>
      <c r="J14" s="41"/>
      <c r="K14" s="41"/>
      <c r="L14" s="41"/>
      <c r="M14" s="41"/>
      <c r="N14" s="41"/>
      <c r="O14" s="24"/>
      <c r="P14" s="42"/>
      <c r="Q14" s="42" t="str">
        <f>IF(B14&lt;&gt;"", IF(A14&lt;&gt;"", IF(I14&lt;&gt;"", IF(H14&lt;&gt;"", IF(A14="MLS", VLOOKUP(I14,'Rehab Matrix'!A13:C213, 2,0)*H14, VLOOKUP(I14,'Rehab Matrix'!A13:C213, 3,0)*H14), "Enter Footage!"), "Enter Year Built!"), "Choose Source!"), "")</f>
        <v/>
      </c>
      <c r="R14" s="42" t="str">
        <f t="shared" si="0"/>
        <v/>
      </c>
      <c r="S14" s="43"/>
      <c r="T14" s="41"/>
      <c r="U14" s="49" t="b">
        <f t="shared" si="1"/>
        <v>0</v>
      </c>
      <c r="V14" s="66" t="str">
        <f t="shared" si="2"/>
        <v/>
      </c>
      <c r="W14" s="66" t="b">
        <f t="shared" si="3"/>
        <v>0</v>
      </c>
      <c r="X14" s="50" t="str">
        <f t="shared" si="4"/>
        <v/>
      </c>
      <c r="Y14" s="51" t="b">
        <f t="shared" si="5"/>
        <v>0</v>
      </c>
      <c r="Z14" s="50" t="str">
        <f t="shared" si="6"/>
        <v/>
      </c>
      <c r="AA14" s="96" t="str">
        <f t="shared" si="7"/>
        <v/>
      </c>
      <c r="AB14" s="94"/>
      <c r="AC14" s="43"/>
      <c r="AD14" s="44" t="str">
        <f t="shared" si="8"/>
        <v/>
      </c>
      <c r="AE14" s="45"/>
      <c r="AF14" s="45"/>
      <c r="AG14" s="45"/>
      <c r="AH14" s="47" t="b">
        <f t="shared" si="9"/>
        <v>0</v>
      </c>
      <c r="AI14" s="103" t="str">
        <f t="shared" si="10"/>
        <v/>
      </c>
      <c r="AJ14" s="45" t="str">
        <f t="shared" si="11"/>
        <v/>
      </c>
      <c r="AK14" s="45" t="str">
        <f t="shared" si="12"/>
        <v/>
      </c>
      <c r="AL14" s="45" t="str">
        <f>IF(AD14&lt;&gt;"", ((H14*75+AD14)*VLOOKUP(Table1[[#This Row],[State]],Insurance!$A$2:$B$51,2,0)/100+Insurance!$J$2), "")</f>
        <v/>
      </c>
      <c r="AM14" s="45" t="str">
        <f t="shared" si="13"/>
        <v/>
      </c>
      <c r="AN14" s="45" t="str">
        <f t="shared" si="14"/>
        <v/>
      </c>
      <c r="AO14" s="45" t="str">
        <f t="shared" si="15"/>
        <v/>
      </c>
      <c r="AP14" s="48" t="str">
        <f t="shared" si="16"/>
        <v/>
      </c>
      <c r="AQ14" s="100" t="str">
        <f t="shared" si="17"/>
        <v/>
      </c>
      <c r="AR14" s="47" t="str">
        <f t="shared" si="18"/>
        <v/>
      </c>
      <c r="AS14" s="47" t="str">
        <f t="shared" si="19"/>
        <v/>
      </c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X14" s="4"/>
      <c r="BY14" s="4"/>
      <c r="BZ14" s="4"/>
      <c r="CA14" s="4"/>
      <c r="CB14" s="4"/>
      <c r="CC14" s="4"/>
      <c r="CE14" s="4"/>
      <c r="CF14" s="4"/>
      <c r="CG14" s="4"/>
      <c r="CH14" s="4"/>
    </row>
    <row r="15" spans="1:86" x14ac:dyDescent="0.25">
      <c r="B15" s="38"/>
      <c r="C15" s="38"/>
      <c r="D15" s="39"/>
      <c r="E15" s="38"/>
      <c r="F15" s="24"/>
      <c r="G15" s="24"/>
      <c r="H15" s="40"/>
      <c r="I15" s="24"/>
      <c r="J15" s="41"/>
      <c r="K15" s="41"/>
      <c r="L15" s="41"/>
      <c r="M15" s="41"/>
      <c r="N15" s="24"/>
      <c r="O15" s="24"/>
      <c r="P15" s="42"/>
      <c r="Q15" s="42" t="str">
        <f>IF(B15&lt;&gt;"", IF(A15&lt;&gt;"", IF(I15&lt;&gt;"", IF(H15&lt;&gt;"", IF(A15="MLS", VLOOKUP(I15,'Rehab Matrix'!A14:C214, 2,0)*H15, VLOOKUP(I15,'Rehab Matrix'!A14:C214, 3,0)*H15), "Enter Footage!"), "Enter Year Built!"), "Choose Source!"), "")</f>
        <v/>
      </c>
      <c r="R15" s="42" t="str">
        <f t="shared" si="0"/>
        <v/>
      </c>
      <c r="S15" s="43"/>
      <c r="T15" s="41"/>
      <c r="U15" s="49" t="b">
        <f t="shared" si="1"/>
        <v>0</v>
      </c>
      <c r="V15" s="66" t="str">
        <f t="shared" si="2"/>
        <v/>
      </c>
      <c r="W15" s="66" t="b">
        <f t="shared" si="3"/>
        <v>0</v>
      </c>
      <c r="X15" s="50" t="str">
        <f t="shared" si="4"/>
        <v/>
      </c>
      <c r="Y15" s="51" t="b">
        <f t="shared" si="5"/>
        <v>0</v>
      </c>
      <c r="Z15" s="50" t="str">
        <f t="shared" si="6"/>
        <v/>
      </c>
      <c r="AA15" s="96" t="str">
        <f t="shared" si="7"/>
        <v/>
      </c>
      <c r="AB15" s="94"/>
      <c r="AC15" s="43"/>
      <c r="AD15" s="44" t="str">
        <f t="shared" si="8"/>
        <v/>
      </c>
      <c r="AE15" s="45"/>
      <c r="AF15" s="45"/>
      <c r="AG15" s="45"/>
      <c r="AH15" s="47" t="b">
        <f t="shared" si="9"/>
        <v>0</v>
      </c>
      <c r="AI15" s="103" t="str">
        <f t="shared" si="10"/>
        <v/>
      </c>
      <c r="AJ15" s="45" t="str">
        <f t="shared" si="11"/>
        <v/>
      </c>
      <c r="AK15" s="45" t="str">
        <f t="shared" si="12"/>
        <v/>
      </c>
      <c r="AL15" s="45" t="str">
        <f>IF(AD15&lt;&gt;"", ((H15*75+AD15)*VLOOKUP(Table1[[#This Row],[State]],Insurance!$A$2:$B$51,2,0)/100+Insurance!$J$2), "")</f>
        <v/>
      </c>
      <c r="AM15" s="45" t="str">
        <f t="shared" si="13"/>
        <v/>
      </c>
      <c r="AN15" s="45" t="str">
        <f t="shared" si="14"/>
        <v/>
      </c>
      <c r="AO15" s="45" t="str">
        <f t="shared" si="15"/>
        <v/>
      </c>
      <c r="AP15" s="48" t="str">
        <f t="shared" si="16"/>
        <v/>
      </c>
      <c r="AQ15" s="100" t="str">
        <f t="shared" si="17"/>
        <v/>
      </c>
      <c r="AR15" s="47" t="str">
        <f t="shared" si="18"/>
        <v/>
      </c>
      <c r="AS15" s="47" t="str">
        <f t="shared" si="19"/>
        <v/>
      </c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X15" s="4"/>
      <c r="BY15" s="4"/>
      <c r="BZ15" s="4"/>
      <c r="CA15" s="4"/>
      <c r="CB15" s="4"/>
      <c r="CC15" s="4"/>
      <c r="CE15" s="4"/>
      <c r="CF15" s="4"/>
      <c r="CG15" s="4"/>
      <c r="CH15" s="4"/>
    </row>
    <row r="16" spans="1:86" x14ac:dyDescent="0.25">
      <c r="B16" s="38"/>
      <c r="C16" s="38"/>
      <c r="D16" s="39"/>
      <c r="E16" s="38"/>
      <c r="F16" s="24"/>
      <c r="G16" s="24"/>
      <c r="H16" s="40"/>
      <c r="I16" s="24"/>
      <c r="J16" s="41"/>
      <c r="K16" s="41"/>
      <c r="L16" s="41"/>
      <c r="M16" s="41"/>
      <c r="N16" s="24"/>
      <c r="O16" s="24"/>
      <c r="P16" s="42"/>
      <c r="Q16" s="42" t="str">
        <f>IF(B16&lt;&gt;"", IF(A16&lt;&gt;"", IF(I16&lt;&gt;"", IF(H16&lt;&gt;"", IF(A16="MLS", VLOOKUP(I16,'Rehab Matrix'!A15:C215, 2,0)*H16, VLOOKUP(I16,'Rehab Matrix'!A15:C215, 3,0)*H16), "Enter Footage!"), "Enter Year Built!"), "Choose Source!"), "")</f>
        <v/>
      </c>
      <c r="R16" s="42" t="str">
        <f t="shared" si="0"/>
        <v/>
      </c>
      <c r="S16" s="43"/>
      <c r="T16" s="41"/>
      <c r="U16" s="49" t="b">
        <f t="shared" si="1"/>
        <v>0</v>
      </c>
      <c r="V16" s="66" t="str">
        <f t="shared" si="2"/>
        <v/>
      </c>
      <c r="W16" s="66" t="b">
        <f t="shared" si="3"/>
        <v>0</v>
      </c>
      <c r="X16" s="50" t="str">
        <f t="shared" si="4"/>
        <v/>
      </c>
      <c r="Y16" s="51" t="b">
        <f t="shared" si="5"/>
        <v>0</v>
      </c>
      <c r="Z16" s="50" t="str">
        <f t="shared" si="6"/>
        <v/>
      </c>
      <c r="AA16" s="96" t="str">
        <f t="shared" si="7"/>
        <v/>
      </c>
      <c r="AB16" s="94"/>
      <c r="AC16" s="43"/>
      <c r="AD16" s="44" t="str">
        <f t="shared" si="8"/>
        <v/>
      </c>
      <c r="AE16" s="45"/>
      <c r="AF16" s="45"/>
      <c r="AG16" s="45"/>
      <c r="AH16" s="47" t="b">
        <f t="shared" si="9"/>
        <v>0</v>
      </c>
      <c r="AI16" s="103" t="str">
        <f t="shared" si="10"/>
        <v/>
      </c>
      <c r="AJ16" s="45" t="str">
        <f t="shared" si="11"/>
        <v/>
      </c>
      <c r="AK16" s="45" t="str">
        <f t="shared" si="12"/>
        <v/>
      </c>
      <c r="AL16" s="45" t="str">
        <f>IF(AD16&lt;&gt;"", ((H16*75+AD16)*VLOOKUP(Table1[[#This Row],[State]],Insurance!$A$2:$B$51,2,0)/100+Insurance!$J$2), "")</f>
        <v/>
      </c>
      <c r="AM16" s="45" t="str">
        <f t="shared" si="13"/>
        <v/>
      </c>
      <c r="AN16" s="45" t="str">
        <f t="shared" si="14"/>
        <v/>
      </c>
      <c r="AO16" s="45" t="str">
        <f t="shared" si="15"/>
        <v/>
      </c>
      <c r="AP16" s="48" t="str">
        <f t="shared" si="16"/>
        <v/>
      </c>
      <c r="AQ16" s="100" t="str">
        <f t="shared" si="17"/>
        <v/>
      </c>
      <c r="AR16" s="47" t="str">
        <f t="shared" si="18"/>
        <v/>
      </c>
      <c r="AS16" s="47" t="str">
        <f t="shared" si="19"/>
        <v/>
      </c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X16" s="4"/>
      <c r="BY16" s="4"/>
      <c r="BZ16" s="4"/>
      <c r="CA16" s="4"/>
      <c r="CB16" s="4"/>
      <c r="CC16" s="4"/>
      <c r="CE16" s="4"/>
      <c r="CF16" s="4"/>
      <c r="CG16" s="4"/>
      <c r="CH16" s="4"/>
    </row>
    <row r="17" spans="2:86" x14ac:dyDescent="0.25">
      <c r="B17" s="38"/>
      <c r="C17" s="38"/>
      <c r="D17" s="39"/>
      <c r="E17" s="38"/>
      <c r="F17" s="24"/>
      <c r="G17" s="24"/>
      <c r="H17" s="40"/>
      <c r="I17" s="24"/>
      <c r="J17" s="41"/>
      <c r="K17" s="41"/>
      <c r="L17" s="41"/>
      <c r="M17" s="41"/>
      <c r="N17" s="41"/>
      <c r="O17" s="24"/>
      <c r="P17" s="42"/>
      <c r="Q17" s="42" t="str">
        <f>IF(B17&lt;&gt;"", IF(A17&lt;&gt;"", IF(I17&lt;&gt;"", IF(H17&lt;&gt;"", IF(A17="MLS", VLOOKUP(I17,'Rehab Matrix'!A16:C216, 2,0)*H17, VLOOKUP(I17,'Rehab Matrix'!A16:C216, 3,0)*H17), "Enter Footage!"), "Enter Year Built!"), "Choose Source!"), "")</f>
        <v/>
      </c>
      <c r="R17" s="42" t="str">
        <f t="shared" si="0"/>
        <v/>
      </c>
      <c r="S17" s="43"/>
      <c r="T17" s="41"/>
      <c r="U17" s="49" t="b">
        <f t="shared" si="1"/>
        <v>0</v>
      </c>
      <c r="V17" s="66" t="str">
        <f t="shared" si="2"/>
        <v/>
      </c>
      <c r="W17" s="66" t="b">
        <f t="shared" si="3"/>
        <v>0</v>
      </c>
      <c r="X17" s="50" t="str">
        <f t="shared" si="4"/>
        <v/>
      </c>
      <c r="Y17" s="51" t="b">
        <f t="shared" si="5"/>
        <v>0</v>
      </c>
      <c r="Z17" s="50" t="str">
        <f t="shared" si="6"/>
        <v/>
      </c>
      <c r="AA17" s="96" t="str">
        <f t="shared" si="7"/>
        <v/>
      </c>
      <c r="AB17" s="94"/>
      <c r="AC17" s="43"/>
      <c r="AD17" s="44" t="str">
        <f t="shared" si="8"/>
        <v/>
      </c>
      <c r="AE17" s="45"/>
      <c r="AF17" s="45"/>
      <c r="AG17" s="45"/>
      <c r="AH17" s="47" t="b">
        <f t="shared" si="9"/>
        <v>0</v>
      </c>
      <c r="AI17" s="103" t="str">
        <f t="shared" si="10"/>
        <v/>
      </c>
      <c r="AJ17" s="45" t="str">
        <f t="shared" si="11"/>
        <v/>
      </c>
      <c r="AK17" s="45" t="str">
        <f t="shared" si="12"/>
        <v/>
      </c>
      <c r="AL17" s="45" t="str">
        <f>IF(AD17&lt;&gt;"", ((H17*75+AD17)*VLOOKUP(Table1[[#This Row],[State]],Insurance!$A$2:$B$51,2,0)/100+Insurance!$J$2), "")</f>
        <v/>
      </c>
      <c r="AM17" s="45" t="str">
        <f t="shared" si="13"/>
        <v/>
      </c>
      <c r="AN17" s="45" t="str">
        <f t="shared" si="14"/>
        <v/>
      </c>
      <c r="AO17" s="45" t="str">
        <f t="shared" si="15"/>
        <v/>
      </c>
      <c r="AP17" s="48" t="str">
        <f t="shared" si="16"/>
        <v/>
      </c>
      <c r="AQ17" s="100" t="str">
        <f t="shared" si="17"/>
        <v/>
      </c>
      <c r="AR17" s="47" t="str">
        <f t="shared" si="18"/>
        <v/>
      </c>
      <c r="AS17" s="47" t="str">
        <f t="shared" si="19"/>
        <v/>
      </c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X17" s="4"/>
      <c r="BY17" s="4"/>
      <c r="BZ17" s="4"/>
      <c r="CA17" s="4"/>
      <c r="CB17" s="4"/>
      <c r="CC17" s="4"/>
      <c r="CE17" s="4"/>
      <c r="CF17" s="4"/>
      <c r="CG17" s="4"/>
      <c r="CH17" s="4"/>
    </row>
    <row r="18" spans="2:86" x14ac:dyDescent="0.25">
      <c r="B18" s="38"/>
      <c r="C18" s="38"/>
      <c r="D18" s="39"/>
      <c r="E18" s="38"/>
      <c r="F18" s="24"/>
      <c r="G18" s="24"/>
      <c r="H18" s="40"/>
      <c r="I18" s="24"/>
      <c r="J18" s="41"/>
      <c r="K18" s="41"/>
      <c r="L18" s="41"/>
      <c r="M18" s="41"/>
      <c r="N18" s="24"/>
      <c r="O18" s="24"/>
      <c r="P18" s="42"/>
      <c r="Q18" s="42" t="str">
        <f>IF(B18&lt;&gt;"", IF(A18&lt;&gt;"", IF(I18&lt;&gt;"", IF(H18&lt;&gt;"", IF(A18="MLS", VLOOKUP(I18,'Rehab Matrix'!A17:C217, 2,0)*H18, VLOOKUP(I18,'Rehab Matrix'!A17:C217, 3,0)*H18), "Enter Footage!"), "Enter Year Built!"), "Choose Source!"), "")</f>
        <v/>
      </c>
      <c r="R18" s="42" t="str">
        <f t="shared" si="0"/>
        <v/>
      </c>
      <c r="S18" s="43"/>
      <c r="T18" s="41"/>
      <c r="U18" s="49" t="b">
        <f t="shared" si="1"/>
        <v>0</v>
      </c>
      <c r="V18" s="66" t="str">
        <f t="shared" si="2"/>
        <v/>
      </c>
      <c r="W18" s="66" t="b">
        <f t="shared" si="3"/>
        <v>0</v>
      </c>
      <c r="X18" s="50" t="str">
        <f t="shared" si="4"/>
        <v/>
      </c>
      <c r="Y18" s="51" t="b">
        <f t="shared" si="5"/>
        <v>0</v>
      </c>
      <c r="Z18" s="50" t="str">
        <f t="shared" si="6"/>
        <v/>
      </c>
      <c r="AA18" s="96" t="str">
        <f t="shared" si="7"/>
        <v/>
      </c>
      <c r="AB18" s="94"/>
      <c r="AC18" s="43"/>
      <c r="AD18" s="44" t="str">
        <f t="shared" si="8"/>
        <v/>
      </c>
      <c r="AE18" s="45"/>
      <c r="AF18" s="45"/>
      <c r="AG18" s="45"/>
      <c r="AH18" s="47" t="b">
        <f t="shared" si="9"/>
        <v>0</v>
      </c>
      <c r="AI18" s="103" t="str">
        <f t="shared" si="10"/>
        <v/>
      </c>
      <c r="AJ18" s="45" t="str">
        <f t="shared" si="11"/>
        <v/>
      </c>
      <c r="AK18" s="45" t="str">
        <f t="shared" si="12"/>
        <v/>
      </c>
      <c r="AL18" s="45" t="str">
        <f>IF(AD18&lt;&gt;"", ((H18*75+AD18)*VLOOKUP(Table1[[#This Row],[State]],Insurance!$A$2:$B$51,2,0)/100+Insurance!$J$2), "")</f>
        <v/>
      </c>
      <c r="AM18" s="45" t="str">
        <f t="shared" si="13"/>
        <v/>
      </c>
      <c r="AN18" s="45" t="str">
        <f t="shared" si="14"/>
        <v/>
      </c>
      <c r="AO18" s="45" t="str">
        <f t="shared" si="15"/>
        <v/>
      </c>
      <c r="AP18" s="48" t="str">
        <f t="shared" si="16"/>
        <v/>
      </c>
      <c r="AQ18" s="100" t="str">
        <f t="shared" si="17"/>
        <v/>
      </c>
      <c r="AR18" s="47" t="str">
        <f t="shared" si="18"/>
        <v/>
      </c>
      <c r="AS18" s="47" t="str">
        <f t="shared" si="19"/>
        <v/>
      </c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X18" s="4"/>
      <c r="BY18" s="4"/>
      <c r="BZ18" s="4"/>
      <c r="CA18" s="4"/>
      <c r="CB18" s="4"/>
      <c r="CC18" s="4"/>
      <c r="CE18" s="4"/>
      <c r="CF18" s="4"/>
      <c r="CG18" s="4"/>
      <c r="CH18" s="4"/>
    </row>
    <row r="19" spans="2:86" x14ac:dyDescent="0.25">
      <c r="B19" s="38"/>
      <c r="C19" s="38"/>
      <c r="D19" s="39"/>
      <c r="E19" s="38"/>
      <c r="F19" s="24"/>
      <c r="G19" s="24"/>
      <c r="H19" s="40"/>
      <c r="I19" s="24"/>
      <c r="J19" s="41"/>
      <c r="K19" s="41"/>
      <c r="L19" s="41"/>
      <c r="M19" s="41"/>
      <c r="N19" s="24"/>
      <c r="O19" s="24"/>
      <c r="P19" s="42"/>
      <c r="Q19" s="42" t="str">
        <f>IF(B19&lt;&gt;"", IF(A19&lt;&gt;"", IF(I19&lt;&gt;"", IF(H19&lt;&gt;"", IF(A19="MLS", VLOOKUP(I19,'Rehab Matrix'!A18:C218, 2,0)*H19, VLOOKUP(I19,'Rehab Matrix'!A18:C218, 3,0)*H19), "Enter Footage!"), "Enter Year Built!"), "Choose Source!"), "")</f>
        <v/>
      </c>
      <c r="R19" s="42" t="str">
        <f t="shared" si="0"/>
        <v/>
      </c>
      <c r="S19" s="43"/>
      <c r="T19" s="41"/>
      <c r="U19" s="49" t="b">
        <f t="shared" si="1"/>
        <v>0</v>
      </c>
      <c r="V19" s="66" t="str">
        <f t="shared" si="2"/>
        <v/>
      </c>
      <c r="W19" s="66" t="b">
        <f t="shared" si="3"/>
        <v>0</v>
      </c>
      <c r="X19" s="50" t="str">
        <f t="shared" si="4"/>
        <v/>
      </c>
      <c r="Y19" s="51" t="b">
        <f t="shared" si="5"/>
        <v>0</v>
      </c>
      <c r="Z19" s="50" t="str">
        <f t="shared" si="6"/>
        <v/>
      </c>
      <c r="AA19" s="96" t="str">
        <f t="shared" si="7"/>
        <v/>
      </c>
      <c r="AB19" s="94"/>
      <c r="AC19" s="43"/>
      <c r="AD19" s="44" t="str">
        <f t="shared" si="8"/>
        <v/>
      </c>
      <c r="AE19" s="45"/>
      <c r="AF19" s="45"/>
      <c r="AG19" s="45"/>
      <c r="AH19" s="47" t="b">
        <f t="shared" si="9"/>
        <v>0</v>
      </c>
      <c r="AI19" s="103" t="str">
        <f t="shared" si="10"/>
        <v/>
      </c>
      <c r="AJ19" s="45" t="str">
        <f t="shared" si="11"/>
        <v/>
      </c>
      <c r="AK19" s="45" t="str">
        <f t="shared" si="12"/>
        <v/>
      </c>
      <c r="AL19" s="45" t="str">
        <f>IF(AD19&lt;&gt;"", ((H19*75+AD19)*VLOOKUP(Table1[[#This Row],[State]],Insurance!$A$2:$B$51,2,0)/100+Insurance!$J$2), "")</f>
        <v/>
      </c>
      <c r="AM19" s="45" t="str">
        <f t="shared" si="13"/>
        <v/>
      </c>
      <c r="AN19" s="45" t="str">
        <f t="shared" si="14"/>
        <v/>
      </c>
      <c r="AO19" s="45" t="str">
        <f t="shared" si="15"/>
        <v/>
      </c>
      <c r="AP19" s="48" t="str">
        <f t="shared" si="16"/>
        <v/>
      </c>
      <c r="AQ19" s="100" t="str">
        <f t="shared" si="17"/>
        <v/>
      </c>
      <c r="AR19" s="47" t="str">
        <f t="shared" si="18"/>
        <v/>
      </c>
      <c r="AS19" s="47" t="str">
        <f t="shared" si="19"/>
        <v/>
      </c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X19" s="4"/>
      <c r="BY19" s="4"/>
      <c r="BZ19" s="4"/>
      <c r="CA19" s="4"/>
      <c r="CB19" s="4"/>
      <c r="CC19" s="4"/>
      <c r="CE19" s="4"/>
      <c r="CF19" s="4"/>
      <c r="CG19" s="4"/>
      <c r="CH19" s="4"/>
    </row>
    <row r="20" spans="2:86" x14ac:dyDescent="0.25">
      <c r="B20" s="38"/>
      <c r="C20" s="38"/>
      <c r="D20" s="39"/>
      <c r="E20" s="38"/>
      <c r="F20" s="24"/>
      <c r="G20" s="24"/>
      <c r="H20" s="40"/>
      <c r="I20" s="24"/>
      <c r="J20" s="41"/>
      <c r="K20" s="41"/>
      <c r="L20" s="41"/>
      <c r="M20" s="41"/>
      <c r="N20" s="24"/>
      <c r="O20" s="24"/>
      <c r="P20" s="42"/>
      <c r="Q20" s="42" t="str">
        <f>IF(B20&lt;&gt;"", IF(A20&lt;&gt;"", IF(I20&lt;&gt;"", IF(H20&lt;&gt;"", IF(A20="MLS", VLOOKUP(I20,'Rehab Matrix'!A19:C219, 2,0)*H20, VLOOKUP(I20,'Rehab Matrix'!A19:C219, 3,0)*H20), "Enter Footage!"), "Enter Year Built!"), "Choose Source!"), "")</f>
        <v/>
      </c>
      <c r="R20" s="42" t="str">
        <f t="shared" si="0"/>
        <v/>
      </c>
      <c r="S20" s="43"/>
      <c r="T20" s="41"/>
      <c r="U20" s="49" t="b">
        <f t="shared" si="1"/>
        <v>0</v>
      </c>
      <c r="V20" s="66" t="str">
        <f t="shared" si="2"/>
        <v/>
      </c>
      <c r="W20" s="66" t="b">
        <f t="shared" si="3"/>
        <v>0</v>
      </c>
      <c r="X20" s="50" t="str">
        <f t="shared" si="4"/>
        <v/>
      </c>
      <c r="Y20" s="51" t="b">
        <f t="shared" si="5"/>
        <v>0</v>
      </c>
      <c r="Z20" s="50" t="str">
        <f t="shared" si="6"/>
        <v/>
      </c>
      <c r="AA20" s="96" t="str">
        <f t="shared" si="7"/>
        <v/>
      </c>
      <c r="AB20" s="94"/>
      <c r="AC20" s="43"/>
      <c r="AD20" s="44" t="str">
        <f t="shared" si="8"/>
        <v/>
      </c>
      <c r="AE20" s="45"/>
      <c r="AF20" s="45"/>
      <c r="AG20" s="45"/>
      <c r="AH20" s="47" t="b">
        <f t="shared" si="9"/>
        <v>0</v>
      </c>
      <c r="AI20" s="103" t="str">
        <f t="shared" si="10"/>
        <v/>
      </c>
      <c r="AJ20" s="45" t="str">
        <f t="shared" si="11"/>
        <v/>
      </c>
      <c r="AK20" s="45" t="str">
        <f t="shared" si="12"/>
        <v/>
      </c>
      <c r="AL20" s="45" t="str">
        <f>IF(AD20&lt;&gt;"", ((H20*75+AD20)*VLOOKUP(Table1[[#This Row],[State]],Insurance!$A$2:$B$51,2,0)/100+Insurance!$J$2), "")</f>
        <v/>
      </c>
      <c r="AM20" s="45" t="str">
        <f t="shared" si="13"/>
        <v/>
      </c>
      <c r="AN20" s="45" t="str">
        <f t="shared" si="14"/>
        <v/>
      </c>
      <c r="AO20" s="45" t="str">
        <f t="shared" si="15"/>
        <v/>
      </c>
      <c r="AP20" s="48" t="str">
        <f t="shared" si="16"/>
        <v/>
      </c>
      <c r="AQ20" s="100" t="str">
        <f t="shared" si="17"/>
        <v/>
      </c>
      <c r="AR20" s="47" t="str">
        <f t="shared" si="18"/>
        <v/>
      </c>
      <c r="AS20" s="47" t="str">
        <f t="shared" si="19"/>
        <v/>
      </c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X20" s="4"/>
      <c r="BY20" s="4"/>
      <c r="BZ20" s="4"/>
      <c r="CA20" s="4"/>
      <c r="CB20" s="4"/>
      <c r="CC20" s="4"/>
      <c r="CE20" s="4"/>
      <c r="CF20" s="4"/>
      <c r="CG20" s="4"/>
      <c r="CH20" s="4"/>
    </row>
    <row r="21" spans="2:86" x14ac:dyDescent="0.25">
      <c r="B21" s="38"/>
      <c r="C21" s="38"/>
      <c r="D21" s="39"/>
      <c r="E21" s="38"/>
      <c r="F21" s="24"/>
      <c r="G21" s="24"/>
      <c r="H21" s="40"/>
      <c r="I21" s="24"/>
      <c r="J21" s="41"/>
      <c r="K21" s="41"/>
      <c r="L21" s="41"/>
      <c r="M21" s="41"/>
      <c r="N21" s="24"/>
      <c r="O21" s="24"/>
      <c r="P21" s="42"/>
      <c r="Q21" s="42" t="str">
        <f>IF(B21&lt;&gt;"", IF(A21&lt;&gt;"", IF(I21&lt;&gt;"", IF(H21&lt;&gt;"", IF(A21="MLS", VLOOKUP(I21,'Rehab Matrix'!A20:C220, 2,0)*H21, VLOOKUP(I21,'Rehab Matrix'!A20:C220, 3,0)*H21), "Enter Footage!"), "Enter Year Built!"), "Choose Source!"), "")</f>
        <v/>
      </c>
      <c r="R21" s="42" t="str">
        <f t="shared" si="0"/>
        <v/>
      </c>
      <c r="S21" s="43"/>
      <c r="T21" s="41"/>
      <c r="U21" s="49" t="b">
        <f t="shared" si="1"/>
        <v>0</v>
      </c>
      <c r="V21" s="66" t="str">
        <f t="shared" si="2"/>
        <v/>
      </c>
      <c r="W21" s="66" t="b">
        <f t="shared" si="3"/>
        <v>0</v>
      </c>
      <c r="X21" s="50" t="str">
        <f t="shared" si="4"/>
        <v/>
      </c>
      <c r="Y21" s="51" t="b">
        <f t="shared" si="5"/>
        <v>0</v>
      </c>
      <c r="Z21" s="50" t="str">
        <f t="shared" si="6"/>
        <v/>
      </c>
      <c r="AA21" s="96" t="str">
        <f t="shared" si="7"/>
        <v/>
      </c>
      <c r="AB21" s="94"/>
      <c r="AC21" s="43"/>
      <c r="AD21" s="44" t="str">
        <f t="shared" si="8"/>
        <v/>
      </c>
      <c r="AE21" s="45"/>
      <c r="AF21" s="45"/>
      <c r="AG21" s="45"/>
      <c r="AH21" s="47" t="b">
        <f t="shared" si="9"/>
        <v>0</v>
      </c>
      <c r="AI21" s="103" t="str">
        <f t="shared" si="10"/>
        <v/>
      </c>
      <c r="AJ21" s="45" t="str">
        <f t="shared" si="11"/>
        <v/>
      </c>
      <c r="AK21" s="45" t="str">
        <f t="shared" si="12"/>
        <v/>
      </c>
      <c r="AL21" s="45" t="str">
        <f>IF(AD21&lt;&gt;"", ((H21*75+AD21)*VLOOKUP(Table1[[#This Row],[State]],Insurance!$A$2:$B$51,2,0)/100+Insurance!$J$2), "")</f>
        <v/>
      </c>
      <c r="AM21" s="45" t="str">
        <f t="shared" si="13"/>
        <v/>
      </c>
      <c r="AN21" s="45" t="str">
        <f t="shared" si="14"/>
        <v/>
      </c>
      <c r="AO21" s="45" t="str">
        <f t="shared" si="15"/>
        <v/>
      </c>
      <c r="AP21" s="48" t="str">
        <f t="shared" si="16"/>
        <v/>
      </c>
      <c r="AQ21" s="100" t="str">
        <f t="shared" si="17"/>
        <v/>
      </c>
      <c r="AR21" s="47" t="str">
        <f t="shared" si="18"/>
        <v/>
      </c>
      <c r="AS21" s="47" t="str">
        <f t="shared" si="19"/>
        <v/>
      </c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X21" s="4"/>
      <c r="BY21" s="4"/>
      <c r="BZ21" s="4"/>
      <c r="CA21" s="4"/>
      <c r="CB21" s="4"/>
      <c r="CC21" s="4"/>
      <c r="CE21" s="4"/>
      <c r="CF21" s="4"/>
      <c r="CG21" s="4"/>
      <c r="CH21" s="4"/>
    </row>
    <row r="22" spans="2:86" x14ac:dyDescent="0.25">
      <c r="B22" s="38"/>
      <c r="C22" s="38"/>
      <c r="D22" s="39"/>
      <c r="E22" s="38"/>
      <c r="F22" s="24"/>
      <c r="G22" s="24"/>
      <c r="H22" s="40"/>
      <c r="I22" s="24"/>
      <c r="J22" s="41"/>
      <c r="K22" s="41"/>
      <c r="L22" s="41"/>
      <c r="M22" s="41"/>
      <c r="N22" s="24"/>
      <c r="O22" s="24"/>
      <c r="P22" s="42"/>
      <c r="Q22" s="42" t="str">
        <f>IF(B22&lt;&gt;"", IF(A22&lt;&gt;"", IF(I22&lt;&gt;"", IF(H22&lt;&gt;"", IF(A22="MLS", VLOOKUP(I22,'Rehab Matrix'!A21:C221, 2,0)*H22, VLOOKUP(I22,'Rehab Matrix'!A21:C221, 3,0)*H22), "Enter Footage!"), "Enter Year Built!"), "Choose Source!"), "")</f>
        <v/>
      </c>
      <c r="R22" s="42" t="str">
        <f t="shared" si="0"/>
        <v/>
      </c>
      <c r="S22" s="43"/>
      <c r="T22" s="41"/>
      <c r="U22" s="49" t="b">
        <f t="shared" si="1"/>
        <v>0</v>
      </c>
      <c r="V22" s="66" t="str">
        <f t="shared" si="2"/>
        <v/>
      </c>
      <c r="W22" s="66" t="b">
        <f t="shared" si="3"/>
        <v>0</v>
      </c>
      <c r="X22" s="50" t="str">
        <f t="shared" si="4"/>
        <v/>
      </c>
      <c r="Y22" s="51" t="b">
        <f t="shared" si="5"/>
        <v>0</v>
      </c>
      <c r="Z22" s="50" t="str">
        <f t="shared" si="6"/>
        <v/>
      </c>
      <c r="AA22" s="96" t="str">
        <f t="shared" si="7"/>
        <v/>
      </c>
      <c r="AB22" s="94"/>
      <c r="AC22" s="43"/>
      <c r="AD22" s="44" t="str">
        <f t="shared" si="8"/>
        <v/>
      </c>
      <c r="AE22" s="45"/>
      <c r="AF22" s="45"/>
      <c r="AG22" s="45"/>
      <c r="AH22" s="47" t="b">
        <f t="shared" si="9"/>
        <v>0</v>
      </c>
      <c r="AI22" s="103" t="str">
        <f t="shared" si="10"/>
        <v/>
      </c>
      <c r="AJ22" s="45" t="str">
        <f t="shared" si="11"/>
        <v/>
      </c>
      <c r="AK22" s="45" t="str">
        <f t="shared" si="12"/>
        <v/>
      </c>
      <c r="AL22" s="45" t="str">
        <f>IF(AD22&lt;&gt;"", ((H22*75+AD22)*VLOOKUP(Table1[[#This Row],[State]],Insurance!$A$2:$B$51,2,0)/100+Insurance!$J$2), "")</f>
        <v/>
      </c>
      <c r="AM22" s="45" t="str">
        <f t="shared" si="13"/>
        <v/>
      </c>
      <c r="AN22" s="45" t="str">
        <f t="shared" si="14"/>
        <v/>
      </c>
      <c r="AO22" s="45" t="str">
        <f t="shared" si="15"/>
        <v/>
      </c>
      <c r="AP22" s="48" t="str">
        <f t="shared" si="16"/>
        <v/>
      </c>
      <c r="AQ22" s="100" t="str">
        <f t="shared" si="17"/>
        <v/>
      </c>
      <c r="AR22" s="47" t="str">
        <f t="shared" si="18"/>
        <v/>
      </c>
      <c r="AS22" s="47" t="str">
        <f t="shared" si="19"/>
        <v/>
      </c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X22" s="4"/>
      <c r="BY22" s="4"/>
      <c r="BZ22" s="4"/>
      <c r="CA22" s="4"/>
      <c r="CB22" s="4"/>
      <c r="CC22" s="4"/>
      <c r="CE22" s="4"/>
      <c r="CF22" s="4"/>
      <c r="CG22" s="4"/>
      <c r="CH22" s="4"/>
    </row>
    <row r="23" spans="2:86" x14ac:dyDescent="0.25">
      <c r="B23" s="38"/>
      <c r="C23" s="38"/>
      <c r="D23" s="39"/>
      <c r="E23" s="38"/>
      <c r="F23" s="24"/>
      <c r="G23" s="24"/>
      <c r="H23" s="40"/>
      <c r="I23" s="24"/>
      <c r="J23" s="41"/>
      <c r="K23" s="41"/>
      <c r="L23" s="41"/>
      <c r="M23" s="41"/>
      <c r="N23" s="41"/>
      <c r="O23" s="24"/>
      <c r="P23" s="42"/>
      <c r="Q23" s="42" t="str">
        <f>IF(B23&lt;&gt;"", IF(A23&lt;&gt;"", IF(I23&lt;&gt;"", IF(H23&lt;&gt;"", IF(A23="MLS", VLOOKUP(I23,'Rehab Matrix'!A22:C222, 2,0)*H23, VLOOKUP(I23,'Rehab Matrix'!A22:C222, 3,0)*H23), "Enter Footage!"), "Enter Year Built!"), "Choose Source!"), "")</f>
        <v/>
      </c>
      <c r="R23" s="42" t="str">
        <f t="shared" si="0"/>
        <v/>
      </c>
      <c r="S23" s="43"/>
      <c r="T23" s="41"/>
      <c r="U23" s="49" t="b">
        <f t="shared" si="1"/>
        <v>0</v>
      </c>
      <c r="V23" s="66" t="str">
        <f t="shared" si="2"/>
        <v/>
      </c>
      <c r="W23" s="66" t="b">
        <f t="shared" si="3"/>
        <v>0</v>
      </c>
      <c r="X23" s="50" t="str">
        <f t="shared" si="4"/>
        <v/>
      </c>
      <c r="Y23" s="51" t="b">
        <f t="shared" si="5"/>
        <v>0</v>
      </c>
      <c r="Z23" s="50" t="str">
        <f t="shared" si="6"/>
        <v/>
      </c>
      <c r="AA23" s="96" t="str">
        <f t="shared" si="7"/>
        <v/>
      </c>
      <c r="AB23" s="94"/>
      <c r="AC23" s="43"/>
      <c r="AD23" s="44" t="str">
        <f t="shared" si="8"/>
        <v/>
      </c>
      <c r="AE23" s="45"/>
      <c r="AF23" s="45"/>
      <c r="AG23" s="45"/>
      <c r="AH23" s="47" t="b">
        <f t="shared" si="9"/>
        <v>0</v>
      </c>
      <c r="AI23" s="103" t="str">
        <f t="shared" si="10"/>
        <v/>
      </c>
      <c r="AJ23" s="45" t="str">
        <f t="shared" si="11"/>
        <v/>
      </c>
      <c r="AK23" s="45" t="str">
        <f t="shared" si="12"/>
        <v/>
      </c>
      <c r="AL23" s="45" t="str">
        <f>IF(AD23&lt;&gt;"", ((H23*75+AD23)*VLOOKUP(Table1[[#This Row],[State]],Insurance!$A$2:$B$51,2,0)/100+Insurance!$J$2), "")</f>
        <v/>
      </c>
      <c r="AM23" s="45" t="str">
        <f t="shared" si="13"/>
        <v/>
      </c>
      <c r="AN23" s="45" t="str">
        <f t="shared" si="14"/>
        <v/>
      </c>
      <c r="AO23" s="45" t="str">
        <f t="shared" si="15"/>
        <v/>
      </c>
      <c r="AP23" s="48" t="str">
        <f t="shared" si="16"/>
        <v/>
      </c>
      <c r="AQ23" s="100" t="str">
        <f t="shared" si="17"/>
        <v/>
      </c>
      <c r="AR23" s="47" t="str">
        <f t="shared" si="18"/>
        <v/>
      </c>
      <c r="AS23" s="47" t="str">
        <f t="shared" si="19"/>
        <v/>
      </c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X23" s="4"/>
      <c r="BY23" s="4"/>
      <c r="BZ23" s="4"/>
      <c r="CA23" s="4"/>
      <c r="CB23" s="4"/>
      <c r="CC23" s="4"/>
      <c r="CE23" s="4"/>
      <c r="CF23" s="4"/>
      <c r="CG23" s="4"/>
      <c r="CH23" s="4"/>
    </row>
    <row r="24" spans="2:86" x14ac:dyDescent="0.25">
      <c r="B24" s="38"/>
      <c r="C24" s="38"/>
      <c r="D24" s="39"/>
      <c r="E24" s="38"/>
      <c r="F24" s="24"/>
      <c r="G24" s="24"/>
      <c r="H24" s="40"/>
      <c r="I24" s="24"/>
      <c r="J24" s="41"/>
      <c r="K24" s="41"/>
      <c r="L24" s="41"/>
      <c r="M24" s="41"/>
      <c r="N24" s="24"/>
      <c r="O24" s="24"/>
      <c r="P24" s="42"/>
      <c r="Q24" s="42" t="str">
        <f>IF(B24&lt;&gt;"", IF(A24&lt;&gt;"", IF(I24&lt;&gt;"", IF(H24&lt;&gt;"", IF(A24="MLS", VLOOKUP(I24,'Rehab Matrix'!A23:C223, 2,0)*H24, VLOOKUP(I24,'Rehab Matrix'!A23:C223, 3,0)*H24), "Enter Footage!"), "Enter Year Built!"), "Choose Source!"), "")</f>
        <v/>
      </c>
      <c r="R24" s="42" t="str">
        <f t="shared" si="0"/>
        <v/>
      </c>
      <c r="S24" s="43"/>
      <c r="T24" s="41"/>
      <c r="U24" s="49" t="b">
        <f t="shared" si="1"/>
        <v>0</v>
      </c>
      <c r="V24" s="66" t="str">
        <f t="shared" si="2"/>
        <v/>
      </c>
      <c r="W24" s="66" t="b">
        <f t="shared" si="3"/>
        <v>0</v>
      </c>
      <c r="X24" s="50" t="str">
        <f t="shared" si="4"/>
        <v/>
      </c>
      <c r="Y24" s="51" t="b">
        <f t="shared" si="5"/>
        <v>0</v>
      </c>
      <c r="Z24" s="50" t="str">
        <f t="shared" si="6"/>
        <v/>
      </c>
      <c r="AA24" s="96" t="str">
        <f t="shared" si="7"/>
        <v/>
      </c>
      <c r="AB24" s="94"/>
      <c r="AC24" s="43"/>
      <c r="AD24" s="44" t="str">
        <f t="shared" si="8"/>
        <v/>
      </c>
      <c r="AE24" s="45"/>
      <c r="AF24" s="45"/>
      <c r="AG24" s="45"/>
      <c r="AH24" s="47" t="b">
        <f t="shared" si="9"/>
        <v>0</v>
      </c>
      <c r="AI24" s="103" t="str">
        <f t="shared" si="10"/>
        <v/>
      </c>
      <c r="AJ24" s="45" t="str">
        <f t="shared" si="11"/>
        <v/>
      </c>
      <c r="AK24" s="45" t="str">
        <f t="shared" si="12"/>
        <v/>
      </c>
      <c r="AL24" s="45" t="str">
        <f>IF(AD24&lt;&gt;"", ((H24*75+AD24)*VLOOKUP(Table1[[#This Row],[State]],Insurance!$A$2:$B$51,2,0)/100+Insurance!$J$2), "")</f>
        <v/>
      </c>
      <c r="AM24" s="45" t="str">
        <f t="shared" si="13"/>
        <v/>
      </c>
      <c r="AN24" s="45"/>
      <c r="AO24" s="45" t="str">
        <f t="shared" si="15"/>
        <v/>
      </c>
      <c r="AP24" s="48" t="str">
        <f t="shared" si="16"/>
        <v/>
      </c>
      <c r="AQ24" s="100" t="str">
        <f t="shared" si="17"/>
        <v/>
      </c>
      <c r="AR24" s="47" t="str">
        <f t="shared" si="18"/>
        <v/>
      </c>
      <c r="AS24" s="47" t="str">
        <f t="shared" si="19"/>
        <v/>
      </c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X24" s="4"/>
      <c r="BY24" s="4"/>
      <c r="BZ24" s="4"/>
      <c r="CA24" s="4"/>
      <c r="CB24" s="4"/>
      <c r="CC24" s="4"/>
      <c r="CE24" s="4"/>
      <c r="CF24" s="4"/>
      <c r="CG24" s="4"/>
      <c r="CH24" s="4"/>
    </row>
    <row r="25" spans="2:86" x14ac:dyDescent="0.25">
      <c r="B25" s="38"/>
      <c r="C25" s="38"/>
      <c r="D25" s="39"/>
      <c r="E25" s="38"/>
      <c r="F25" s="24"/>
      <c r="G25" s="24"/>
      <c r="H25" s="40"/>
      <c r="I25" s="24"/>
      <c r="J25" s="41"/>
      <c r="K25" s="41"/>
      <c r="L25" s="41"/>
      <c r="M25" s="41"/>
      <c r="N25" s="41"/>
      <c r="O25" s="24"/>
      <c r="P25" s="42"/>
      <c r="Q25" s="42" t="str">
        <f>IF(B25&lt;&gt;"", IF(A25&lt;&gt;"", IF(I25&lt;&gt;"", IF(H25&lt;&gt;"", IF(A25="MLS", VLOOKUP(I25,'Rehab Matrix'!A24:C224, 2,0)*H25, VLOOKUP(I25,'Rehab Matrix'!A24:C224, 3,0)*H25), "Enter Footage!"), "Enter Year Built!"), "Choose Source!"), "")</f>
        <v/>
      </c>
      <c r="R25" s="42" t="str">
        <f t="shared" si="0"/>
        <v/>
      </c>
      <c r="S25" s="43"/>
      <c r="T25" s="41"/>
      <c r="U25" s="49" t="b">
        <f t="shared" si="1"/>
        <v>0</v>
      </c>
      <c r="V25" s="66" t="str">
        <f t="shared" si="2"/>
        <v/>
      </c>
      <c r="W25" s="66" t="b">
        <f t="shared" si="3"/>
        <v>0</v>
      </c>
      <c r="X25" s="50" t="str">
        <f t="shared" si="4"/>
        <v/>
      </c>
      <c r="Y25" s="51" t="b">
        <f t="shared" si="5"/>
        <v>0</v>
      </c>
      <c r="Z25" s="50" t="str">
        <f t="shared" si="6"/>
        <v/>
      </c>
      <c r="AA25" s="96" t="str">
        <f t="shared" si="7"/>
        <v/>
      </c>
      <c r="AB25" s="94"/>
      <c r="AC25" s="43"/>
      <c r="AD25" s="44" t="str">
        <f t="shared" si="8"/>
        <v/>
      </c>
      <c r="AE25" s="45"/>
      <c r="AF25" s="45"/>
      <c r="AG25" s="45"/>
      <c r="AH25" s="47" t="b">
        <f t="shared" si="9"/>
        <v>0</v>
      </c>
      <c r="AI25" s="103" t="str">
        <f t="shared" si="10"/>
        <v/>
      </c>
      <c r="AJ25" s="45" t="str">
        <f t="shared" si="11"/>
        <v/>
      </c>
      <c r="AK25" s="45" t="str">
        <f t="shared" si="12"/>
        <v/>
      </c>
      <c r="AL25" s="45" t="str">
        <f>IF(AD25&lt;&gt;"", ((H25*75+AD25)*VLOOKUP(Table1[[#This Row],[State]],Insurance!$A$2:$B$51,2,0)/100+Insurance!$J$2), "")</f>
        <v/>
      </c>
      <c r="AM25" s="45" t="str">
        <f t="shared" si="13"/>
        <v/>
      </c>
      <c r="AN25" s="45"/>
      <c r="AO25" s="45" t="str">
        <f t="shared" si="15"/>
        <v/>
      </c>
      <c r="AP25" s="48" t="str">
        <f t="shared" si="16"/>
        <v/>
      </c>
      <c r="AQ25" s="100" t="str">
        <f t="shared" si="17"/>
        <v/>
      </c>
      <c r="AR25" s="47" t="str">
        <f t="shared" si="18"/>
        <v/>
      </c>
      <c r="AS25" s="47" t="str">
        <f t="shared" si="19"/>
        <v/>
      </c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X25" s="4"/>
      <c r="BY25" s="4"/>
      <c r="BZ25" s="4"/>
      <c r="CA25" s="4"/>
      <c r="CB25" s="4"/>
      <c r="CC25" s="4"/>
      <c r="CE25" s="4"/>
      <c r="CF25" s="4"/>
      <c r="CG25" s="4"/>
      <c r="CH25" s="4"/>
    </row>
    <row r="26" spans="2:86" x14ac:dyDescent="0.25">
      <c r="B26" s="38"/>
      <c r="C26" s="38"/>
      <c r="D26" s="39"/>
      <c r="E26" s="38"/>
      <c r="F26" s="24"/>
      <c r="G26" s="24"/>
      <c r="H26" s="40"/>
      <c r="I26" s="24"/>
      <c r="J26" s="41"/>
      <c r="K26" s="41"/>
      <c r="L26" s="41"/>
      <c r="M26" s="41"/>
      <c r="N26" s="24"/>
      <c r="O26" s="24"/>
      <c r="P26" s="42"/>
      <c r="Q26" s="42" t="str">
        <f>IF(B26&lt;&gt;"", IF(A26&lt;&gt;"", IF(I26&lt;&gt;"", IF(H26&lt;&gt;"", IF(A26="MLS", VLOOKUP(I26,'Rehab Matrix'!A25:C225, 2,0)*H26, VLOOKUP(I26,'Rehab Matrix'!A25:C225, 3,0)*H26), "Enter Footage!"), "Enter Year Built!"), "Choose Source!"), "")</f>
        <v/>
      </c>
      <c r="R26" s="42" t="str">
        <f t="shared" si="0"/>
        <v/>
      </c>
      <c r="S26" s="43"/>
      <c r="T26" s="41"/>
      <c r="U26" s="49" t="b">
        <f t="shared" si="1"/>
        <v>0</v>
      </c>
      <c r="V26" s="66" t="str">
        <f t="shared" si="2"/>
        <v/>
      </c>
      <c r="W26" s="66" t="b">
        <f t="shared" si="3"/>
        <v>0</v>
      </c>
      <c r="X26" s="50" t="str">
        <f t="shared" si="4"/>
        <v/>
      </c>
      <c r="Y26" s="51" t="b">
        <f t="shared" si="5"/>
        <v>0</v>
      </c>
      <c r="Z26" s="50" t="str">
        <f t="shared" si="6"/>
        <v/>
      </c>
      <c r="AA26" s="96" t="str">
        <f t="shared" si="7"/>
        <v/>
      </c>
      <c r="AB26" s="94"/>
      <c r="AC26" s="43"/>
      <c r="AD26" s="44" t="str">
        <f t="shared" si="8"/>
        <v/>
      </c>
      <c r="AE26" s="45"/>
      <c r="AF26" s="45"/>
      <c r="AG26" s="45"/>
      <c r="AH26" s="47" t="b">
        <f t="shared" si="9"/>
        <v>0</v>
      </c>
      <c r="AI26" s="103" t="str">
        <f t="shared" si="10"/>
        <v/>
      </c>
      <c r="AJ26" s="45" t="str">
        <f t="shared" si="11"/>
        <v/>
      </c>
      <c r="AK26" s="45" t="str">
        <f t="shared" si="12"/>
        <v/>
      </c>
      <c r="AL26" s="45" t="str">
        <f>IF(AD26&lt;&gt;"", ((H26*75+AD26)*VLOOKUP(Table1[[#This Row],[State]],Insurance!$A$2:$B$51,2,0)/100+Insurance!$J$2), "")</f>
        <v/>
      </c>
      <c r="AM26" s="45" t="str">
        <f t="shared" si="13"/>
        <v/>
      </c>
      <c r="AN26" s="45" t="str">
        <f t="shared" ref="AN26:AN33" si="20">IF(AC26&gt;0, (AC26*12-AM26), "")</f>
        <v/>
      </c>
      <c r="AO26" s="45" t="str">
        <f t="shared" si="15"/>
        <v/>
      </c>
      <c r="AP26" s="48" t="str">
        <f t="shared" si="16"/>
        <v/>
      </c>
      <c r="AQ26" s="100" t="str">
        <f t="shared" si="17"/>
        <v/>
      </c>
      <c r="AR26" s="47" t="str">
        <f t="shared" si="18"/>
        <v/>
      </c>
      <c r="AS26" s="47" t="str">
        <f t="shared" si="19"/>
        <v/>
      </c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X26" s="4"/>
      <c r="BY26" s="4"/>
      <c r="BZ26" s="4"/>
      <c r="CA26" s="4"/>
      <c r="CB26" s="4"/>
      <c r="CC26" s="4"/>
      <c r="CE26" s="4"/>
      <c r="CF26" s="4"/>
      <c r="CG26" s="4"/>
      <c r="CH26" s="4"/>
    </row>
    <row r="27" spans="2:86" x14ac:dyDescent="0.25">
      <c r="B27" s="38"/>
      <c r="C27" s="38"/>
      <c r="D27" s="39"/>
      <c r="E27" s="38"/>
      <c r="F27" s="24"/>
      <c r="G27" s="24"/>
      <c r="H27" s="40"/>
      <c r="I27" s="24"/>
      <c r="J27" s="41"/>
      <c r="K27" s="41"/>
      <c r="L27" s="41"/>
      <c r="M27" s="41"/>
      <c r="N27" s="41"/>
      <c r="O27" s="24"/>
      <c r="P27" s="42"/>
      <c r="Q27" s="42" t="str">
        <f>IF(B27&lt;&gt;"", IF(A27&lt;&gt;"", IF(I27&lt;&gt;"", IF(H27&lt;&gt;"", IF(A27="MLS", VLOOKUP(I27,'Rehab Matrix'!A26:C226, 2,0)*H27, VLOOKUP(I27,'Rehab Matrix'!A26:C226, 3,0)*H27), "Enter Footage!"), "Enter Year Built!"), "Choose Source!"), "")</f>
        <v/>
      </c>
      <c r="R27" s="42" t="str">
        <f t="shared" si="0"/>
        <v/>
      </c>
      <c r="S27" s="43"/>
      <c r="T27" s="41"/>
      <c r="U27" s="49" t="b">
        <f t="shared" si="1"/>
        <v>0</v>
      </c>
      <c r="V27" s="66" t="str">
        <f t="shared" si="2"/>
        <v/>
      </c>
      <c r="W27" s="66" t="b">
        <f t="shared" si="3"/>
        <v>0</v>
      </c>
      <c r="X27" s="50" t="str">
        <f t="shared" si="4"/>
        <v/>
      </c>
      <c r="Y27" s="51" t="b">
        <f t="shared" si="5"/>
        <v>0</v>
      </c>
      <c r="Z27" s="50" t="str">
        <f t="shared" si="6"/>
        <v/>
      </c>
      <c r="AA27" s="96" t="str">
        <f t="shared" si="7"/>
        <v/>
      </c>
      <c r="AB27" s="94"/>
      <c r="AC27" s="43"/>
      <c r="AD27" s="44" t="str">
        <f t="shared" si="8"/>
        <v/>
      </c>
      <c r="AE27" s="45"/>
      <c r="AF27" s="45"/>
      <c r="AG27" s="45"/>
      <c r="AH27" s="47" t="b">
        <f t="shared" si="9"/>
        <v>0</v>
      </c>
      <c r="AI27" s="103" t="str">
        <f t="shared" si="10"/>
        <v/>
      </c>
      <c r="AJ27" s="45" t="str">
        <f t="shared" si="11"/>
        <v/>
      </c>
      <c r="AK27" s="45" t="str">
        <f t="shared" si="12"/>
        <v/>
      </c>
      <c r="AL27" s="45" t="str">
        <f>IF(AD27&lt;&gt;"", ((H27*75+AD27)*VLOOKUP(Table1[[#This Row],[State]],Insurance!$A$2:$B$51,2,0)/100+Insurance!$J$2), "")</f>
        <v/>
      </c>
      <c r="AM27" s="45" t="str">
        <f t="shared" si="13"/>
        <v/>
      </c>
      <c r="AN27" s="45" t="str">
        <f t="shared" si="20"/>
        <v/>
      </c>
      <c r="AO27" s="45" t="str">
        <f t="shared" si="15"/>
        <v/>
      </c>
      <c r="AP27" s="48" t="str">
        <f t="shared" si="16"/>
        <v/>
      </c>
      <c r="AQ27" s="100" t="str">
        <f t="shared" si="17"/>
        <v/>
      </c>
      <c r="AR27" s="47" t="str">
        <f t="shared" si="18"/>
        <v/>
      </c>
      <c r="AS27" s="47" t="str">
        <f t="shared" si="19"/>
        <v/>
      </c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X27" s="4"/>
      <c r="BY27" s="4"/>
      <c r="BZ27" s="4"/>
      <c r="CA27" s="4"/>
      <c r="CB27" s="4"/>
      <c r="CC27" s="4"/>
      <c r="CE27" s="4"/>
      <c r="CF27" s="4"/>
      <c r="CG27" s="4"/>
      <c r="CH27" s="4"/>
    </row>
    <row r="28" spans="2:86" x14ac:dyDescent="0.25">
      <c r="B28" s="38"/>
      <c r="C28" s="38"/>
      <c r="D28" s="39"/>
      <c r="E28" s="38"/>
      <c r="F28" s="24"/>
      <c r="G28" s="24"/>
      <c r="H28" s="40"/>
      <c r="I28" s="24"/>
      <c r="J28" s="41"/>
      <c r="K28" s="41"/>
      <c r="L28" s="41"/>
      <c r="M28" s="41"/>
      <c r="N28" s="24"/>
      <c r="O28" s="24"/>
      <c r="P28" s="42"/>
      <c r="Q28" s="42" t="str">
        <f>IF(B28&lt;&gt;"", IF(A28&lt;&gt;"", IF(I28&lt;&gt;"", IF(H28&lt;&gt;"", IF(A28="MLS", VLOOKUP(I28,'Rehab Matrix'!A27:C227, 2,0)*H28, VLOOKUP(I28,'Rehab Matrix'!A27:C227, 3,0)*H28), "Enter Footage!"), "Enter Year Built!"), "Choose Source!"), "")</f>
        <v/>
      </c>
      <c r="R28" s="42" t="str">
        <f t="shared" si="0"/>
        <v/>
      </c>
      <c r="S28" s="43"/>
      <c r="T28" s="41"/>
      <c r="U28" s="49" t="b">
        <f t="shared" si="1"/>
        <v>0</v>
      </c>
      <c r="V28" s="66" t="str">
        <f t="shared" si="2"/>
        <v/>
      </c>
      <c r="W28" s="66" t="b">
        <f t="shared" si="3"/>
        <v>0</v>
      </c>
      <c r="X28" s="50" t="str">
        <f t="shared" si="4"/>
        <v/>
      </c>
      <c r="Y28" s="51" t="b">
        <f t="shared" si="5"/>
        <v>0</v>
      </c>
      <c r="Z28" s="50" t="str">
        <f t="shared" si="6"/>
        <v/>
      </c>
      <c r="AA28" s="96" t="str">
        <f t="shared" si="7"/>
        <v/>
      </c>
      <c r="AB28" s="94"/>
      <c r="AC28" s="43"/>
      <c r="AD28" s="44" t="str">
        <f t="shared" si="8"/>
        <v/>
      </c>
      <c r="AE28" s="45"/>
      <c r="AF28" s="45"/>
      <c r="AG28" s="45"/>
      <c r="AH28" s="47" t="b">
        <f t="shared" si="9"/>
        <v>0</v>
      </c>
      <c r="AI28" s="103" t="str">
        <f t="shared" si="10"/>
        <v/>
      </c>
      <c r="AJ28" s="45" t="str">
        <f t="shared" si="11"/>
        <v/>
      </c>
      <c r="AK28" s="45" t="str">
        <f t="shared" si="12"/>
        <v/>
      </c>
      <c r="AL28" s="45" t="str">
        <f>IF(AD28&lt;&gt;"", ((H28*75+AD28)*VLOOKUP(Table1[[#This Row],[State]],Insurance!$A$2:$B$51,2,0)/100+Insurance!$J$2), "")</f>
        <v/>
      </c>
      <c r="AM28" s="45" t="str">
        <f t="shared" si="13"/>
        <v/>
      </c>
      <c r="AN28" s="45" t="str">
        <f t="shared" si="20"/>
        <v/>
      </c>
      <c r="AO28" s="45" t="str">
        <f t="shared" si="15"/>
        <v/>
      </c>
      <c r="AP28" s="48" t="str">
        <f t="shared" si="16"/>
        <v/>
      </c>
      <c r="AQ28" s="100" t="str">
        <f t="shared" si="17"/>
        <v/>
      </c>
      <c r="AR28" s="47" t="str">
        <f t="shared" si="18"/>
        <v/>
      </c>
      <c r="AS28" s="47" t="str">
        <f t="shared" si="19"/>
        <v/>
      </c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X28" s="4"/>
      <c r="BY28" s="4"/>
      <c r="BZ28" s="4"/>
      <c r="CA28" s="4"/>
      <c r="CB28" s="4"/>
      <c r="CC28" s="4"/>
      <c r="CE28" s="4"/>
      <c r="CF28" s="4"/>
      <c r="CG28" s="4"/>
      <c r="CH28" s="4"/>
    </row>
    <row r="29" spans="2:86" x14ac:dyDescent="0.25">
      <c r="B29" s="38"/>
      <c r="C29" s="38"/>
      <c r="D29" s="39"/>
      <c r="E29" s="38"/>
      <c r="F29" s="24"/>
      <c r="G29" s="24"/>
      <c r="H29" s="40"/>
      <c r="I29" s="24"/>
      <c r="J29" s="41"/>
      <c r="K29" s="41"/>
      <c r="L29" s="41"/>
      <c r="M29" s="41"/>
      <c r="N29" s="24"/>
      <c r="O29" s="24"/>
      <c r="P29" s="42"/>
      <c r="Q29" s="42" t="str">
        <f>IF(B29&lt;&gt;"", IF(A29&lt;&gt;"", IF(I29&lt;&gt;"", IF(H29&lt;&gt;"", IF(A29="MLS", VLOOKUP(I29,'Rehab Matrix'!A28:C228, 2,0)*H29, VLOOKUP(I29,'Rehab Matrix'!A28:C228, 3,0)*H29), "Enter Footage!"), "Enter Year Built!"), "Choose Source!"), "")</f>
        <v/>
      </c>
      <c r="R29" s="42" t="str">
        <f t="shared" si="0"/>
        <v/>
      </c>
      <c r="S29" s="43"/>
      <c r="T29" s="41"/>
      <c r="U29" s="49" t="b">
        <f t="shared" si="1"/>
        <v>0</v>
      </c>
      <c r="V29" s="66" t="str">
        <f t="shared" si="2"/>
        <v/>
      </c>
      <c r="W29" s="66" t="b">
        <f t="shared" si="3"/>
        <v>0</v>
      </c>
      <c r="X29" s="50" t="str">
        <f t="shared" si="4"/>
        <v/>
      </c>
      <c r="Y29" s="51" t="b">
        <f t="shared" si="5"/>
        <v>0</v>
      </c>
      <c r="Z29" s="50" t="str">
        <f t="shared" si="6"/>
        <v/>
      </c>
      <c r="AA29" s="96" t="str">
        <f t="shared" si="7"/>
        <v/>
      </c>
      <c r="AB29" s="94"/>
      <c r="AC29" s="43"/>
      <c r="AD29" s="44" t="str">
        <f t="shared" si="8"/>
        <v/>
      </c>
      <c r="AE29" s="45"/>
      <c r="AF29" s="45"/>
      <c r="AG29" s="45"/>
      <c r="AH29" s="47" t="b">
        <f t="shared" si="9"/>
        <v>0</v>
      </c>
      <c r="AI29" s="103" t="str">
        <f t="shared" si="10"/>
        <v/>
      </c>
      <c r="AJ29" s="45" t="str">
        <f t="shared" si="11"/>
        <v/>
      </c>
      <c r="AK29" s="45" t="str">
        <f t="shared" si="12"/>
        <v/>
      </c>
      <c r="AL29" s="45" t="str">
        <f>IF(AD29&lt;&gt;"", ((H29*75+AD29)*VLOOKUP(Table1[[#This Row],[State]],Insurance!$A$2:$B$51,2,0)/100+Insurance!$J$2), "")</f>
        <v/>
      </c>
      <c r="AM29" s="45" t="str">
        <f t="shared" si="13"/>
        <v/>
      </c>
      <c r="AN29" s="45" t="str">
        <f t="shared" si="20"/>
        <v/>
      </c>
      <c r="AO29" s="45" t="str">
        <f t="shared" si="15"/>
        <v/>
      </c>
      <c r="AP29" s="48" t="str">
        <f t="shared" si="16"/>
        <v/>
      </c>
      <c r="AQ29" s="100" t="str">
        <f t="shared" si="17"/>
        <v/>
      </c>
      <c r="AR29" s="47" t="str">
        <f t="shared" si="18"/>
        <v/>
      </c>
      <c r="AS29" s="47" t="str">
        <f t="shared" si="19"/>
        <v/>
      </c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X29" s="4"/>
      <c r="BY29" s="4"/>
      <c r="BZ29" s="4"/>
      <c r="CA29" s="4"/>
      <c r="CB29" s="4"/>
      <c r="CC29" s="4"/>
      <c r="CE29" s="4"/>
      <c r="CF29" s="4"/>
      <c r="CG29" s="4"/>
      <c r="CH29" s="4"/>
    </row>
    <row r="30" spans="2:86" x14ac:dyDescent="0.25">
      <c r="B30" s="38"/>
      <c r="C30" s="38"/>
      <c r="D30" s="39"/>
      <c r="E30" s="38"/>
      <c r="F30" s="24"/>
      <c r="G30" s="24"/>
      <c r="H30" s="40"/>
      <c r="I30" s="24"/>
      <c r="J30" s="41"/>
      <c r="K30" s="41"/>
      <c r="L30" s="41"/>
      <c r="M30" s="41"/>
      <c r="N30" s="24"/>
      <c r="O30" s="24"/>
      <c r="P30" s="42"/>
      <c r="Q30" s="42" t="str">
        <f>IF(B30&lt;&gt;"", IF(A30&lt;&gt;"", IF(I30&lt;&gt;"", IF(H30&lt;&gt;"", IF(A30="MLS", VLOOKUP(I30,'Rehab Matrix'!A29:C229, 2,0)*H30, VLOOKUP(I30,'Rehab Matrix'!A29:C229, 3,0)*H30), "Enter Footage!"), "Enter Year Built!"), "Choose Source!"), "")</f>
        <v/>
      </c>
      <c r="R30" s="42" t="str">
        <f t="shared" si="0"/>
        <v/>
      </c>
      <c r="S30" s="43"/>
      <c r="T30" s="41"/>
      <c r="U30" s="49" t="b">
        <f t="shared" si="1"/>
        <v>0</v>
      </c>
      <c r="V30" s="66" t="str">
        <f t="shared" si="2"/>
        <v/>
      </c>
      <c r="W30" s="66" t="b">
        <f t="shared" si="3"/>
        <v>0</v>
      </c>
      <c r="X30" s="50" t="str">
        <f t="shared" si="4"/>
        <v/>
      </c>
      <c r="Y30" s="51" t="b">
        <f t="shared" si="5"/>
        <v>0</v>
      </c>
      <c r="Z30" s="50" t="str">
        <f t="shared" si="6"/>
        <v/>
      </c>
      <c r="AA30" s="96" t="str">
        <f t="shared" si="7"/>
        <v/>
      </c>
      <c r="AB30" s="94"/>
      <c r="AC30" s="43"/>
      <c r="AD30" s="44" t="str">
        <f t="shared" si="8"/>
        <v/>
      </c>
      <c r="AE30" s="45"/>
      <c r="AF30" s="45"/>
      <c r="AG30" s="45"/>
      <c r="AH30" s="47" t="b">
        <f t="shared" si="9"/>
        <v>0</v>
      </c>
      <c r="AI30" s="103" t="str">
        <f t="shared" si="10"/>
        <v/>
      </c>
      <c r="AJ30" s="45" t="str">
        <f t="shared" si="11"/>
        <v/>
      </c>
      <c r="AK30" s="45" t="str">
        <f t="shared" si="12"/>
        <v/>
      </c>
      <c r="AL30" s="45" t="str">
        <f>IF(AD30&lt;&gt;"", ((H30*75+AD30)*VLOOKUP(Table1[[#This Row],[State]],Insurance!$A$2:$B$51,2,0)/100+Insurance!$J$2), "")</f>
        <v/>
      </c>
      <c r="AM30" s="45" t="str">
        <f t="shared" si="13"/>
        <v/>
      </c>
      <c r="AN30" s="45" t="str">
        <f t="shared" si="20"/>
        <v/>
      </c>
      <c r="AO30" s="45" t="str">
        <f t="shared" si="15"/>
        <v/>
      </c>
      <c r="AP30" s="48" t="str">
        <f t="shared" si="16"/>
        <v/>
      </c>
      <c r="AQ30" s="100" t="str">
        <f t="shared" si="17"/>
        <v/>
      </c>
      <c r="AR30" s="47" t="str">
        <f t="shared" si="18"/>
        <v/>
      </c>
      <c r="AS30" s="47" t="str">
        <f t="shared" si="19"/>
        <v/>
      </c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X30" s="4"/>
      <c r="BY30" s="4"/>
      <c r="BZ30" s="4"/>
      <c r="CA30" s="4"/>
      <c r="CB30" s="4"/>
      <c r="CC30" s="4"/>
      <c r="CE30" s="4"/>
      <c r="CF30" s="4"/>
      <c r="CG30" s="4"/>
      <c r="CH30" s="4"/>
    </row>
    <row r="31" spans="2:86" x14ac:dyDescent="0.25">
      <c r="B31" s="38"/>
      <c r="C31" s="38"/>
      <c r="D31" s="39"/>
      <c r="E31" s="38"/>
      <c r="F31" s="24"/>
      <c r="G31" s="24"/>
      <c r="H31" s="40"/>
      <c r="I31" s="24"/>
      <c r="J31" s="41"/>
      <c r="K31" s="41"/>
      <c r="L31" s="41"/>
      <c r="M31" s="41"/>
      <c r="N31" s="24"/>
      <c r="O31" s="24"/>
      <c r="P31" s="42"/>
      <c r="Q31" s="42" t="str">
        <f>IF(B31&lt;&gt;"", IF(A31&lt;&gt;"", IF(I31&lt;&gt;"", IF(H31&lt;&gt;"", IF(A31="MLS", VLOOKUP(I31,'Rehab Matrix'!A30:C230, 2,0)*H31, VLOOKUP(I31,'Rehab Matrix'!A30:C230, 3,0)*H31), "Enter Footage!"), "Enter Year Built!"), "Choose Source!"), "")</f>
        <v/>
      </c>
      <c r="R31" s="42" t="str">
        <f t="shared" si="0"/>
        <v/>
      </c>
      <c r="S31" s="43"/>
      <c r="T31" s="41"/>
      <c r="U31" s="49" t="b">
        <f t="shared" si="1"/>
        <v>0</v>
      </c>
      <c r="V31" s="66" t="str">
        <f t="shared" si="2"/>
        <v/>
      </c>
      <c r="W31" s="66" t="b">
        <f t="shared" si="3"/>
        <v>0</v>
      </c>
      <c r="X31" s="50" t="str">
        <f t="shared" si="4"/>
        <v/>
      </c>
      <c r="Y31" s="51" t="b">
        <f t="shared" si="5"/>
        <v>0</v>
      </c>
      <c r="Z31" s="50" t="str">
        <f t="shared" si="6"/>
        <v/>
      </c>
      <c r="AA31" s="96" t="str">
        <f t="shared" si="7"/>
        <v/>
      </c>
      <c r="AB31" s="94"/>
      <c r="AC31" s="43"/>
      <c r="AD31" s="44" t="str">
        <f t="shared" si="8"/>
        <v/>
      </c>
      <c r="AE31" s="45"/>
      <c r="AF31" s="45"/>
      <c r="AG31" s="45"/>
      <c r="AH31" s="47" t="b">
        <f t="shared" si="9"/>
        <v>0</v>
      </c>
      <c r="AI31" s="103" t="str">
        <f t="shared" si="10"/>
        <v/>
      </c>
      <c r="AJ31" s="45" t="str">
        <f t="shared" si="11"/>
        <v/>
      </c>
      <c r="AK31" s="45" t="str">
        <f t="shared" si="12"/>
        <v/>
      </c>
      <c r="AL31" s="45" t="str">
        <f>IF(AD31&lt;&gt;"", ((H31*75+AD31)*VLOOKUP(Table1[[#This Row],[State]],Insurance!$A$2:$B$51,2,0)/100+Insurance!$J$2), "")</f>
        <v/>
      </c>
      <c r="AM31" s="45" t="str">
        <f t="shared" si="13"/>
        <v/>
      </c>
      <c r="AN31" s="45" t="str">
        <f t="shared" si="20"/>
        <v/>
      </c>
      <c r="AO31" s="45" t="str">
        <f t="shared" si="15"/>
        <v/>
      </c>
      <c r="AP31" s="48" t="str">
        <f t="shared" si="16"/>
        <v/>
      </c>
      <c r="AQ31" s="100" t="str">
        <f t="shared" si="17"/>
        <v/>
      </c>
      <c r="AR31" s="47" t="str">
        <f t="shared" si="18"/>
        <v/>
      </c>
      <c r="AS31" s="47" t="str">
        <f t="shared" si="19"/>
        <v/>
      </c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X31" s="4"/>
      <c r="BY31" s="4"/>
      <c r="BZ31" s="4"/>
      <c r="CA31" s="4"/>
      <c r="CB31" s="4"/>
      <c r="CC31" s="4"/>
      <c r="CE31" s="4"/>
      <c r="CF31" s="4"/>
      <c r="CG31" s="4"/>
      <c r="CH31" s="4"/>
    </row>
    <row r="32" spans="2:86" x14ac:dyDescent="0.25">
      <c r="B32" s="38"/>
      <c r="C32" s="38"/>
      <c r="D32" s="39"/>
      <c r="E32" s="38"/>
      <c r="F32" s="24"/>
      <c r="G32" s="24"/>
      <c r="H32" s="40"/>
      <c r="I32" s="24"/>
      <c r="J32" s="41"/>
      <c r="K32" s="41"/>
      <c r="L32" s="41"/>
      <c r="M32" s="41"/>
      <c r="N32" s="24"/>
      <c r="O32" s="24"/>
      <c r="P32" s="42"/>
      <c r="Q32" s="42" t="str">
        <f>IF(B32&lt;&gt;"", IF(A32&lt;&gt;"", IF(I32&lt;&gt;"", IF(H32&lt;&gt;"", IF(A32="MLS", VLOOKUP(I32,'Rehab Matrix'!A31:C231, 2,0)*H32, VLOOKUP(I32,'Rehab Matrix'!A31:C231, 3,0)*H32), "Enter Footage!"), "Enter Year Built!"), "Choose Source!"), "")</f>
        <v/>
      </c>
      <c r="R32" s="42" t="str">
        <f t="shared" si="0"/>
        <v/>
      </c>
      <c r="S32" s="43"/>
      <c r="T32" s="41"/>
      <c r="U32" s="49" t="b">
        <f t="shared" si="1"/>
        <v>0</v>
      </c>
      <c r="V32" s="66" t="str">
        <f t="shared" si="2"/>
        <v/>
      </c>
      <c r="W32" s="66" t="b">
        <f t="shared" si="3"/>
        <v>0</v>
      </c>
      <c r="X32" s="50" t="str">
        <f t="shared" si="4"/>
        <v/>
      </c>
      <c r="Y32" s="51" t="b">
        <f t="shared" si="5"/>
        <v>0</v>
      </c>
      <c r="Z32" s="50" t="str">
        <f t="shared" si="6"/>
        <v/>
      </c>
      <c r="AA32" s="96" t="str">
        <f t="shared" si="7"/>
        <v/>
      </c>
      <c r="AB32" s="94"/>
      <c r="AC32" s="43"/>
      <c r="AD32" s="44" t="str">
        <f t="shared" si="8"/>
        <v/>
      </c>
      <c r="AE32" s="45"/>
      <c r="AF32" s="45"/>
      <c r="AG32" s="45"/>
      <c r="AH32" s="47" t="b">
        <f t="shared" si="9"/>
        <v>0</v>
      </c>
      <c r="AI32" s="103" t="str">
        <f t="shared" si="10"/>
        <v/>
      </c>
      <c r="AJ32" s="45" t="str">
        <f t="shared" si="11"/>
        <v/>
      </c>
      <c r="AK32" s="45" t="str">
        <f t="shared" si="12"/>
        <v/>
      </c>
      <c r="AL32" s="45" t="str">
        <f>IF(AD32&lt;&gt;"", ((H32*75+AD32)*VLOOKUP(Table1[[#This Row],[State]],Insurance!$A$2:$B$51,2,0)/100+Insurance!$J$2), "")</f>
        <v/>
      </c>
      <c r="AM32" s="45" t="str">
        <f t="shared" si="13"/>
        <v/>
      </c>
      <c r="AN32" s="45" t="str">
        <f t="shared" si="20"/>
        <v/>
      </c>
      <c r="AO32" s="45" t="str">
        <f t="shared" si="15"/>
        <v/>
      </c>
      <c r="AP32" s="48" t="str">
        <f t="shared" si="16"/>
        <v/>
      </c>
      <c r="AQ32" s="100" t="str">
        <f t="shared" si="17"/>
        <v/>
      </c>
      <c r="AR32" s="47" t="str">
        <f t="shared" si="18"/>
        <v/>
      </c>
      <c r="AS32" s="47" t="str">
        <f t="shared" si="19"/>
        <v/>
      </c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X32" s="4"/>
      <c r="BY32" s="4"/>
      <c r="BZ32" s="4"/>
      <c r="CA32" s="4"/>
      <c r="CB32" s="4"/>
      <c r="CC32" s="4"/>
      <c r="CE32" s="4"/>
      <c r="CF32" s="4"/>
      <c r="CG32" s="4"/>
      <c r="CH32" s="4"/>
    </row>
    <row r="33" spans="1:86" x14ac:dyDescent="0.25">
      <c r="B33" s="52"/>
      <c r="C33" s="52"/>
      <c r="D33" s="53"/>
      <c r="E33" s="52"/>
      <c r="F33" s="54"/>
      <c r="G33" s="54"/>
      <c r="H33" s="55"/>
      <c r="I33" s="54"/>
      <c r="J33" s="56"/>
      <c r="K33" s="41"/>
      <c r="L33" s="41"/>
      <c r="M33" s="41"/>
      <c r="N33" s="56"/>
      <c r="O33" s="54"/>
      <c r="P33" s="57"/>
      <c r="Q33" s="57" t="str">
        <f>IF(B33&lt;&gt;"", IF(A33&lt;&gt;"", IF(I33&lt;&gt;"", IF(H33&lt;&gt;"", IF(A33="MLS", VLOOKUP(I33,'Rehab Matrix'!A32:C232, 2,0)*H33, VLOOKUP(I33,'Rehab Matrix'!A32:C232, 3,0)*H33), "Enter Footage!"), "Enter Year Built!"), "Choose Source!"), "")</f>
        <v/>
      </c>
      <c r="R33" s="42" t="str">
        <f t="shared" si="0"/>
        <v/>
      </c>
      <c r="S33" s="58"/>
      <c r="T33" s="56"/>
      <c r="U33" s="49" t="b">
        <f t="shared" si="1"/>
        <v>0</v>
      </c>
      <c r="V33" s="68" t="str">
        <f t="shared" si="2"/>
        <v/>
      </c>
      <c r="W33" s="66" t="b">
        <f t="shared" si="3"/>
        <v>0</v>
      </c>
      <c r="X33" s="63" t="str">
        <f t="shared" si="4"/>
        <v/>
      </c>
      <c r="Y33" s="51" t="b">
        <f t="shared" si="5"/>
        <v>0</v>
      </c>
      <c r="Z33" s="50" t="str">
        <f t="shared" si="6"/>
        <v/>
      </c>
      <c r="AA33" s="96" t="str">
        <f t="shared" si="7"/>
        <v/>
      </c>
      <c r="AB33" s="95"/>
      <c r="AC33" s="58"/>
      <c r="AD33" s="59" t="str">
        <f t="shared" si="8"/>
        <v/>
      </c>
      <c r="AE33" s="60"/>
      <c r="AF33" s="60"/>
      <c r="AG33" s="60"/>
      <c r="AH33" s="47" t="b">
        <f t="shared" si="9"/>
        <v>0</v>
      </c>
      <c r="AI33" s="104" t="str">
        <f t="shared" si="10"/>
        <v/>
      </c>
      <c r="AJ33" s="45" t="str">
        <f t="shared" si="11"/>
        <v/>
      </c>
      <c r="AK33" s="60" t="str">
        <f t="shared" si="12"/>
        <v/>
      </c>
      <c r="AL33" s="60" t="str">
        <f>IF(AD33&lt;&gt;"", ((H33*75+AD33)*VLOOKUP(Table1[[#This Row],[State]],Insurance!$A$2:$B$51,2,0)/100+Insurance!$J$2), "")</f>
        <v/>
      </c>
      <c r="AM33" s="60" t="str">
        <f t="shared" si="13"/>
        <v/>
      </c>
      <c r="AN33" s="60" t="str">
        <f t="shared" si="20"/>
        <v/>
      </c>
      <c r="AO33" s="60" t="str">
        <f t="shared" si="15"/>
        <v/>
      </c>
      <c r="AP33" s="62" t="str">
        <f t="shared" si="16"/>
        <v/>
      </c>
      <c r="AQ33" s="101" t="str">
        <f t="shared" si="17"/>
        <v/>
      </c>
      <c r="AR33" s="61" t="str">
        <f t="shared" si="18"/>
        <v/>
      </c>
      <c r="AS33" s="61" t="str">
        <f t="shared" si="19"/>
        <v/>
      </c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X33" s="4"/>
      <c r="BY33" s="4"/>
      <c r="BZ33" s="4"/>
      <c r="CA33" s="4"/>
      <c r="CB33" s="4"/>
      <c r="CC33" s="4"/>
      <c r="CE33" s="4"/>
      <c r="CF33" s="4"/>
      <c r="CG33" s="4"/>
      <c r="CH33" s="4"/>
    </row>
    <row r="35" spans="1:86" x14ac:dyDescent="0.25">
      <c r="BJ35" s="67"/>
    </row>
    <row r="36" spans="1:86" x14ac:dyDescent="0.25">
      <c r="A36" s="124" t="s">
        <v>166</v>
      </c>
      <c r="B36" s="125"/>
      <c r="C36" s="110"/>
      <c r="D36" s="110"/>
      <c r="E36" s="110"/>
      <c r="F36" s="111"/>
      <c r="G36" s="110"/>
      <c r="H36" s="110"/>
      <c r="I36" s="110"/>
      <c r="J36" s="112"/>
      <c r="K36" s="113"/>
      <c r="AS36" s="76"/>
      <c r="AT36" s="76"/>
    </row>
    <row r="37" spans="1:86" x14ac:dyDescent="0.25">
      <c r="A37" s="114" t="s">
        <v>169</v>
      </c>
      <c r="B37" s="126" t="s">
        <v>167</v>
      </c>
      <c r="C37" s="126"/>
      <c r="D37" s="126"/>
      <c r="E37" s="126"/>
      <c r="F37" s="126"/>
      <c r="G37" s="126"/>
      <c r="H37" s="126"/>
      <c r="I37" s="126"/>
      <c r="J37" s="126"/>
      <c r="K37" s="127"/>
      <c r="S37" s="86"/>
    </row>
    <row r="38" spans="1:86" x14ac:dyDescent="0.25">
      <c r="A38" s="114"/>
      <c r="B38" s="126" t="s">
        <v>168</v>
      </c>
      <c r="C38" s="126"/>
      <c r="D38" s="126"/>
      <c r="E38" s="126"/>
      <c r="F38" s="126"/>
      <c r="G38" s="126"/>
      <c r="H38" s="126"/>
      <c r="I38" s="126"/>
      <c r="J38" s="126"/>
      <c r="K38" s="127"/>
    </row>
    <row r="39" spans="1:86" x14ac:dyDescent="0.25">
      <c r="A39" s="114"/>
      <c r="B39" s="126" t="s">
        <v>172</v>
      </c>
      <c r="C39" s="126"/>
      <c r="D39" s="126"/>
      <c r="E39" s="126"/>
      <c r="F39" s="126"/>
      <c r="G39" s="126"/>
      <c r="H39" s="126"/>
      <c r="I39" s="126"/>
      <c r="J39" s="126"/>
      <c r="K39" s="127"/>
    </row>
    <row r="40" spans="1:86" x14ac:dyDescent="0.25">
      <c r="A40" s="114" t="s">
        <v>170</v>
      </c>
      <c r="B40" s="126" t="s">
        <v>171</v>
      </c>
      <c r="C40" s="126"/>
      <c r="D40" s="126"/>
      <c r="E40" s="126"/>
      <c r="F40" s="126"/>
      <c r="G40" s="126"/>
      <c r="H40" s="126"/>
      <c r="I40" s="126"/>
      <c r="J40" s="126"/>
      <c r="K40" s="127"/>
    </row>
    <row r="41" spans="1:86" x14ac:dyDescent="0.25">
      <c r="A41" s="114"/>
      <c r="B41" s="126" t="s">
        <v>173</v>
      </c>
      <c r="C41" s="126"/>
      <c r="D41" s="126"/>
      <c r="E41" s="126"/>
      <c r="F41" s="126"/>
      <c r="G41" s="126"/>
      <c r="H41" s="126"/>
      <c r="I41" s="126"/>
      <c r="J41" s="126"/>
      <c r="K41" s="127"/>
    </row>
    <row r="42" spans="1:86" x14ac:dyDescent="0.25">
      <c r="A42" s="114"/>
      <c r="B42" s="115"/>
      <c r="C42" s="115"/>
      <c r="D42" s="115"/>
      <c r="E42" s="115"/>
      <c r="F42" s="116"/>
      <c r="G42" s="115"/>
      <c r="H42" s="115"/>
      <c r="I42" s="115"/>
      <c r="J42" s="117"/>
      <c r="K42" s="118"/>
    </row>
    <row r="43" spans="1:86" x14ac:dyDescent="0.25">
      <c r="A43" s="119"/>
      <c r="B43" s="122" t="s">
        <v>174</v>
      </c>
      <c r="C43" s="122"/>
      <c r="D43" s="122"/>
      <c r="E43" s="122"/>
      <c r="F43" s="122"/>
      <c r="G43" s="122"/>
      <c r="H43" s="122"/>
      <c r="I43" s="122"/>
      <c r="J43" s="122"/>
      <c r="K43" s="123"/>
    </row>
  </sheetData>
  <sheetProtection insertRows="0" sort="0"/>
  <mergeCells count="7">
    <mergeCell ref="B43:K43"/>
    <mergeCell ref="A36:B36"/>
    <mergeCell ref="B37:K37"/>
    <mergeCell ref="B38:K38"/>
    <mergeCell ref="B39:K39"/>
    <mergeCell ref="B40:K40"/>
    <mergeCell ref="B41:K41"/>
  </mergeCells>
  <phoneticPr fontId="2" type="noConversion"/>
  <conditionalFormatting sqref="P3:Q3">
    <cfRule type="containsText" dxfId="72" priority="48" operator="containsText" text="Enter Year Built!">
      <formula>NOT(ISERROR(SEARCH("Enter Year Built!",P3)))</formula>
    </cfRule>
    <cfRule type="containsText" dxfId="71" priority="49" operator="containsText" text="Enter Footage!">
      <formula>NOT(ISERROR(SEARCH("Enter Footage!",P3)))</formula>
    </cfRule>
  </conditionalFormatting>
  <conditionalFormatting sqref="AI2 U2 X2:AA33 AE2:AG33 AM2:AN33 AJ2:AJ33">
    <cfRule type="containsText" dxfId="70" priority="46" operator="containsText" text="No">
      <formula>NOT(ISERROR(SEARCH("No",U2)))</formula>
    </cfRule>
    <cfRule type="containsText" dxfId="69" priority="47" operator="containsText" text="Yes">
      <formula>NOT(ISERROR(SEARCH("Yes",U2)))</formula>
    </cfRule>
  </conditionalFormatting>
  <conditionalFormatting sqref="AI3:AI33">
    <cfRule type="containsText" dxfId="68" priority="44" operator="containsText" text="No">
      <formula>NOT(ISERROR(SEARCH("No",AI3)))</formula>
    </cfRule>
    <cfRule type="containsText" dxfId="67" priority="45" operator="containsText" text="Yes">
      <formula>NOT(ISERROR(SEARCH("Yes",AI3)))</formula>
    </cfRule>
  </conditionalFormatting>
  <conditionalFormatting sqref="W2">
    <cfRule type="containsText" dxfId="66" priority="41" operator="containsText" text="Yes">
      <formula>NOT(ISERROR(SEARCH("Yes",W2)))</formula>
    </cfRule>
    <cfRule type="containsText" dxfId="65" priority="42" operator="containsText" text="No">
      <formula>NOT(ISERROR(SEARCH("No",W2)))</formula>
    </cfRule>
    <cfRule type="containsText" dxfId="64" priority="43" operator="containsText" text="Enter an ARV!">
      <formula>NOT(ISERROR(SEARCH("Enter an ARV!",W2)))</formula>
    </cfRule>
  </conditionalFormatting>
  <conditionalFormatting sqref="V3:V33">
    <cfRule type="containsText" dxfId="63" priority="35" operator="containsText" text="Yes">
      <formula>NOT(ISERROR(SEARCH("Yes",V3)))</formula>
    </cfRule>
    <cfRule type="containsText" dxfId="62" priority="36" operator="containsText" text="No">
      <formula>NOT(ISERROR(SEARCH("No",V3)))</formula>
    </cfRule>
    <cfRule type="containsText" dxfId="61" priority="37" operator="containsText" text="Enter an ARV!">
      <formula>NOT(ISERROR(SEARCH("Enter an ARV!",V3)))</formula>
    </cfRule>
  </conditionalFormatting>
  <conditionalFormatting sqref="Q2:Q33">
    <cfRule type="containsText" dxfId="60" priority="34" operator="containsText" text="Choose Source!">
      <formula>NOT(ISERROR(SEARCH("Choose Source!",Q2)))</formula>
    </cfRule>
  </conditionalFormatting>
  <conditionalFormatting sqref="R2:R33">
    <cfRule type="containsText" dxfId="59" priority="32" operator="containsText" text="Choose Source!">
      <formula>NOT(ISERROR(SEARCH("Choose Source!",R2)))</formula>
    </cfRule>
  </conditionalFormatting>
  <conditionalFormatting sqref="V2">
    <cfRule type="containsText" dxfId="58" priority="28" operator="containsText" text="Yes">
      <formula>NOT(ISERROR(SEARCH("Yes",V2)))</formula>
    </cfRule>
    <cfRule type="containsText" dxfId="57" priority="29" operator="containsText" text="No">
      <formula>NOT(ISERROR(SEARCH("No",V2)))</formula>
    </cfRule>
    <cfRule type="containsText" dxfId="56" priority="30" operator="containsText" text="Enter an ARV!">
      <formula>NOT(ISERROR(SEARCH("Enter an ARV!",V2)))</formula>
    </cfRule>
  </conditionalFormatting>
  <conditionalFormatting sqref="U3:U33">
    <cfRule type="containsText" dxfId="55" priority="4" operator="containsText" text="No">
      <formula>NOT(ISERROR(SEARCH("No",U3)))</formula>
    </cfRule>
    <cfRule type="containsText" dxfId="54" priority="5" operator="containsText" text="Yes">
      <formula>NOT(ISERROR(SEARCH("Yes",U3)))</formula>
    </cfRule>
  </conditionalFormatting>
  <conditionalFormatting sqref="W3:W33">
    <cfRule type="containsText" dxfId="53" priority="1" operator="containsText" text="Yes">
      <formula>NOT(ISERROR(SEARCH("Yes",W3)))</formula>
    </cfRule>
    <cfRule type="containsText" dxfId="52" priority="2" operator="containsText" text="No">
      <formula>NOT(ISERROR(SEARCH("No",W3)))</formula>
    </cfRule>
    <cfRule type="containsText" dxfId="51" priority="3" operator="containsText" text="Enter an ARV!">
      <formula>NOT(ISERROR(SEARCH("Enter an ARV!",W3)))</formula>
    </cfRule>
  </conditionalFormatting>
  <dataValidations count="3">
    <dataValidation type="list" allowBlank="1" showInputMessage="1" showErrorMessage="1" sqref="A2:A33">
      <formula1>"MLS, Auction"</formula1>
    </dataValidation>
    <dataValidation type="list" allowBlank="1" showInputMessage="1" showErrorMessage="1" sqref="L2:M33">
      <formula1>"Public, Private"</formula1>
    </dataValidation>
    <dataValidation type="list" allowBlank="1" showInputMessage="1" showErrorMessage="1" sqref="K2:K33">
      <formula1>"Yes, No"</formula1>
    </dataValidation>
  </dataValidations>
  <pageMargins left="0.7" right="0.7" top="0.75" bottom="0.75" header="0.3" footer="0.3"/>
  <pageSetup orientation="portrait" r:id="rId1"/>
  <ignoredErrors>
    <ignoredError sqref="B2:E2 D3 J3 AD2 H2:J2 AD3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topLeftCell="A163" workbookViewId="0">
      <selection activeCell="H15" sqref="H15"/>
    </sheetView>
  </sheetViews>
  <sheetFormatPr defaultColWidth="8.85546875" defaultRowHeight="15" x14ac:dyDescent="0.25"/>
  <cols>
    <col min="1" max="1" width="9.5703125" style="4" bestFit="1" customWidth="1"/>
    <col min="2" max="2" width="10.140625" style="4" bestFit="1" customWidth="1"/>
    <col min="3" max="3" width="11" style="4" customWidth="1"/>
    <col min="4" max="16384" width="8.85546875" style="4"/>
  </cols>
  <sheetData>
    <row r="1" spans="1:3" x14ac:dyDescent="0.25">
      <c r="A1" s="30" t="s">
        <v>7</v>
      </c>
      <c r="B1" s="30" t="s">
        <v>11</v>
      </c>
      <c r="C1" s="30" t="s">
        <v>113</v>
      </c>
    </row>
    <row r="2" spans="1:3" x14ac:dyDescent="0.25">
      <c r="A2" s="28">
        <v>1821</v>
      </c>
      <c r="B2" s="29">
        <v>25</v>
      </c>
      <c r="C2" s="28">
        <v>35</v>
      </c>
    </row>
    <row r="3" spans="1:3" x14ac:dyDescent="0.25">
      <c r="A3" s="28">
        <v>1822</v>
      </c>
      <c r="B3" s="29">
        <v>25</v>
      </c>
      <c r="C3" s="28">
        <v>35</v>
      </c>
    </row>
    <row r="4" spans="1:3" x14ac:dyDescent="0.25">
      <c r="A4" s="28">
        <v>1823</v>
      </c>
      <c r="B4" s="29">
        <v>25</v>
      </c>
      <c r="C4" s="28">
        <v>35</v>
      </c>
    </row>
    <row r="5" spans="1:3" x14ac:dyDescent="0.25">
      <c r="A5" s="28">
        <v>1824</v>
      </c>
      <c r="B5" s="29">
        <v>25</v>
      </c>
      <c r="C5" s="28">
        <v>35</v>
      </c>
    </row>
    <row r="6" spans="1:3" x14ac:dyDescent="0.25">
      <c r="A6" s="28">
        <v>1825</v>
      </c>
      <c r="B6" s="29">
        <v>25</v>
      </c>
      <c r="C6" s="28">
        <v>35</v>
      </c>
    </row>
    <row r="7" spans="1:3" x14ac:dyDescent="0.25">
      <c r="A7" s="28">
        <v>1826</v>
      </c>
      <c r="B7" s="29">
        <v>25</v>
      </c>
      <c r="C7" s="28">
        <v>35</v>
      </c>
    </row>
    <row r="8" spans="1:3" x14ac:dyDescent="0.25">
      <c r="A8" s="28">
        <v>1827</v>
      </c>
      <c r="B8" s="29">
        <v>25</v>
      </c>
      <c r="C8" s="28">
        <v>35</v>
      </c>
    </row>
    <row r="9" spans="1:3" x14ac:dyDescent="0.25">
      <c r="A9" s="28">
        <v>1828</v>
      </c>
      <c r="B9" s="29">
        <v>25</v>
      </c>
      <c r="C9" s="28">
        <v>35</v>
      </c>
    </row>
    <row r="10" spans="1:3" x14ac:dyDescent="0.25">
      <c r="A10" s="28">
        <v>1829</v>
      </c>
      <c r="B10" s="29">
        <v>25</v>
      </c>
      <c r="C10" s="28">
        <v>35</v>
      </c>
    </row>
    <row r="11" spans="1:3" x14ac:dyDescent="0.25">
      <c r="A11" s="28">
        <v>1830</v>
      </c>
      <c r="B11" s="29">
        <v>25</v>
      </c>
      <c r="C11" s="28">
        <v>35</v>
      </c>
    </row>
    <row r="12" spans="1:3" x14ac:dyDescent="0.25">
      <c r="A12" s="28">
        <v>1831</v>
      </c>
      <c r="B12" s="29">
        <v>25</v>
      </c>
      <c r="C12" s="28">
        <v>35</v>
      </c>
    </row>
    <row r="13" spans="1:3" x14ac:dyDescent="0.25">
      <c r="A13" s="28">
        <v>1832</v>
      </c>
      <c r="B13" s="29">
        <v>25</v>
      </c>
      <c r="C13" s="28">
        <v>35</v>
      </c>
    </row>
    <row r="14" spans="1:3" x14ac:dyDescent="0.25">
      <c r="A14" s="28">
        <v>1833</v>
      </c>
      <c r="B14" s="29">
        <v>25</v>
      </c>
      <c r="C14" s="28">
        <v>35</v>
      </c>
    </row>
    <row r="15" spans="1:3" x14ac:dyDescent="0.25">
      <c r="A15" s="28">
        <v>1834</v>
      </c>
      <c r="B15" s="29">
        <v>25</v>
      </c>
      <c r="C15" s="28">
        <v>35</v>
      </c>
    </row>
    <row r="16" spans="1:3" x14ac:dyDescent="0.25">
      <c r="A16" s="28">
        <v>1835</v>
      </c>
      <c r="B16" s="29">
        <v>25</v>
      </c>
      <c r="C16" s="28">
        <v>35</v>
      </c>
    </row>
    <row r="17" spans="1:3" x14ac:dyDescent="0.25">
      <c r="A17" s="28">
        <v>1836</v>
      </c>
      <c r="B17" s="29">
        <v>25</v>
      </c>
      <c r="C17" s="28">
        <v>35</v>
      </c>
    </row>
    <row r="18" spans="1:3" x14ac:dyDescent="0.25">
      <c r="A18" s="28">
        <v>1837</v>
      </c>
      <c r="B18" s="29">
        <v>25</v>
      </c>
      <c r="C18" s="28">
        <v>35</v>
      </c>
    </row>
    <row r="19" spans="1:3" x14ac:dyDescent="0.25">
      <c r="A19" s="28">
        <v>1838</v>
      </c>
      <c r="B19" s="29">
        <v>25</v>
      </c>
      <c r="C19" s="28">
        <v>35</v>
      </c>
    </row>
    <row r="20" spans="1:3" x14ac:dyDescent="0.25">
      <c r="A20" s="28">
        <v>1839</v>
      </c>
      <c r="B20" s="29">
        <v>25</v>
      </c>
      <c r="C20" s="28">
        <v>35</v>
      </c>
    </row>
    <row r="21" spans="1:3" x14ac:dyDescent="0.25">
      <c r="A21" s="28">
        <v>1840</v>
      </c>
      <c r="B21" s="29">
        <v>25</v>
      </c>
      <c r="C21" s="28">
        <v>35</v>
      </c>
    </row>
    <row r="22" spans="1:3" x14ac:dyDescent="0.25">
      <c r="A22" s="28">
        <v>1841</v>
      </c>
      <c r="B22" s="29">
        <v>25</v>
      </c>
      <c r="C22" s="28">
        <v>35</v>
      </c>
    </row>
    <row r="23" spans="1:3" x14ac:dyDescent="0.25">
      <c r="A23" s="28">
        <v>1842</v>
      </c>
      <c r="B23" s="29">
        <v>25</v>
      </c>
      <c r="C23" s="28">
        <v>35</v>
      </c>
    </row>
    <row r="24" spans="1:3" x14ac:dyDescent="0.25">
      <c r="A24" s="28">
        <v>1843</v>
      </c>
      <c r="B24" s="29">
        <v>25</v>
      </c>
      <c r="C24" s="28">
        <v>35</v>
      </c>
    </row>
    <row r="25" spans="1:3" x14ac:dyDescent="0.25">
      <c r="A25" s="28">
        <v>1844</v>
      </c>
      <c r="B25" s="29">
        <v>25</v>
      </c>
      <c r="C25" s="28">
        <v>35</v>
      </c>
    </row>
    <row r="26" spans="1:3" x14ac:dyDescent="0.25">
      <c r="A26" s="28">
        <v>1845</v>
      </c>
      <c r="B26" s="29">
        <v>25</v>
      </c>
      <c r="C26" s="28">
        <v>35</v>
      </c>
    </row>
    <row r="27" spans="1:3" x14ac:dyDescent="0.25">
      <c r="A27" s="28">
        <v>1846</v>
      </c>
      <c r="B27" s="29">
        <v>25</v>
      </c>
      <c r="C27" s="28">
        <v>35</v>
      </c>
    </row>
    <row r="28" spans="1:3" x14ac:dyDescent="0.25">
      <c r="A28" s="28">
        <v>1847</v>
      </c>
      <c r="B28" s="29">
        <v>25</v>
      </c>
      <c r="C28" s="28">
        <v>35</v>
      </c>
    </row>
    <row r="29" spans="1:3" x14ac:dyDescent="0.25">
      <c r="A29" s="28">
        <v>1848</v>
      </c>
      <c r="B29" s="29">
        <v>25</v>
      </c>
      <c r="C29" s="28">
        <v>35</v>
      </c>
    </row>
    <row r="30" spans="1:3" x14ac:dyDescent="0.25">
      <c r="A30" s="28">
        <v>1849</v>
      </c>
      <c r="B30" s="29">
        <v>25</v>
      </c>
      <c r="C30" s="28">
        <v>35</v>
      </c>
    </row>
    <row r="31" spans="1:3" x14ac:dyDescent="0.25">
      <c r="A31" s="28">
        <v>1850</v>
      </c>
      <c r="B31" s="29">
        <v>25</v>
      </c>
      <c r="C31" s="28">
        <v>35</v>
      </c>
    </row>
    <row r="32" spans="1:3" x14ac:dyDescent="0.25">
      <c r="A32" s="28">
        <v>1851</v>
      </c>
      <c r="B32" s="29">
        <v>25</v>
      </c>
      <c r="C32" s="28">
        <v>35</v>
      </c>
    </row>
    <row r="33" spans="1:3" x14ac:dyDescent="0.25">
      <c r="A33" s="28">
        <v>1852</v>
      </c>
      <c r="B33" s="29">
        <v>25</v>
      </c>
      <c r="C33" s="28">
        <v>35</v>
      </c>
    </row>
    <row r="34" spans="1:3" x14ac:dyDescent="0.25">
      <c r="A34" s="28">
        <v>1853</v>
      </c>
      <c r="B34" s="29">
        <v>25</v>
      </c>
      <c r="C34" s="28">
        <v>35</v>
      </c>
    </row>
    <row r="35" spans="1:3" x14ac:dyDescent="0.25">
      <c r="A35" s="28">
        <v>1854</v>
      </c>
      <c r="B35" s="29">
        <v>25</v>
      </c>
      <c r="C35" s="28">
        <v>35</v>
      </c>
    </row>
    <row r="36" spans="1:3" x14ac:dyDescent="0.25">
      <c r="A36" s="28">
        <v>1855</v>
      </c>
      <c r="B36" s="29">
        <v>25</v>
      </c>
      <c r="C36" s="28">
        <v>35</v>
      </c>
    </row>
    <row r="37" spans="1:3" x14ac:dyDescent="0.25">
      <c r="A37" s="28">
        <v>1856</v>
      </c>
      <c r="B37" s="29">
        <v>25</v>
      </c>
      <c r="C37" s="28">
        <v>35</v>
      </c>
    </row>
    <row r="38" spans="1:3" x14ac:dyDescent="0.25">
      <c r="A38" s="28">
        <v>1857</v>
      </c>
      <c r="B38" s="29">
        <v>25</v>
      </c>
      <c r="C38" s="28">
        <v>35</v>
      </c>
    </row>
    <row r="39" spans="1:3" x14ac:dyDescent="0.25">
      <c r="A39" s="28">
        <v>1858</v>
      </c>
      <c r="B39" s="29">
        <v>25</v>
      </c>
      <c r="C39" s="28">
        <v>35</v>
      </c>
    </row>
    <row r="40" spans="1:3" x14ac:dyDescent="0.25">
      <c r="A40" s="28">
        <v>1859</v>
      </c>
      <c r="B40" s="29">
        <v>25</v>
      </c>
      <c r="C40" s="28">
        <v>35</v>
      </c>
    </row>
    <row r="41" spans="1:3" x14ac:dyDescent="0.25">
      <c r="A41" s="28">
        <v>1860</v>
      </c>
      <c r="B41" s="29">
        <v>25</v>
      </c>
      <c r="C41" s="28">
        <v>35</v>
      </c>
    </row>
    <row r="42" spans="1:3" x14ac:dyDescent="0.25">
      <c r="A42" s="28">
        <v>1861</v>
      </c>
      <c r="B42" s="29">
        <v>25</v>
      </c>
      <c r="C42" s="28">
        <v>35</v>
      </c>
    </row>
    <row r="43" spans="1:3" x14ac:dyDescent="0.25">
      <c r="A43" s="28">
        <v>1862</v>
      </c>
      <c r="B43" s="29">
        <v>25</v>
      </c>
      <c r="C43" s="28">
        <v>35</v>
      </c>
    </row>
    <row r="44" spans="1:3" x14ac:dyDescent="0.25">
      <c r="A44" s="28">
        <v>1863</v>
      </c>
      <c r="B44" s="29">
        <v>25</v>
      </c>
      <c r="C44" s="28">
        <v>35</v>
      </c>
    </row>
    <row r="45" spans="1:3" x14ac:dyDescent="0.25">
      <c r="A45" s="28">
        <v>1864</v>
      </c>
      <c r="B45" s="29">
        <v>25</v>
      </c>
      <c r="C45" s="28">
        <v>35</v>
      </c>
    </row>
    <row r="46" spans="1:3" x14ac:dyDescent="0.25">
      <c r="A46" s="28">
        <v>1865</v>
      </c>
      <c r="B46" s="29">
        <v>25</v>
      </c>
      <c r="C46" s="28">
        <v>35</v>
      </c>
    </row>
    <row r="47" spans="1:3" x14ac:dyDescent="0.25">
      <c r="A47" s="28">
        <v>1866</v>
      </c>
      <c r="B47" s="29">
        <v>25</v>
      </c>
      <c r="C47" s="28">
        <v>35</v>
      </c>
    </row>
    <row r="48" spans="1:3" x14ac:dyDescent="0.25">
      <c r="A48" s="28">
        <v>1867</v>
      </c>
      <c r="B48" s="29">
        <v>25</v>
      </c>
      <c r="C48" s="28">
        <v>35</v>
      </c>
    </row>
    <row r="49" spans="1:3" x14ac:dyDescent="0.25">
      <c r="A49" s="28">
        <v>1868</v>
      </c>
      <c r="B49" s="29">
        <v>25</v>
      </c>
      <c r="C49" s="28">
        <v>35</v>
      </c>
    </row>
    <row r="50" spans="1:3" x14ac:dyDescent="0.25">
      <c r="A50" s="28">
        <v>1869</v>
      </c>
      <c r="B50" s="29">
        <v>25</v>
      </c>
      <c r="C50" s="28">
        <v>35</v>
      </c>
    </row>
    <row r="51" spans="1:3" x14ac:dyDescent="0.25">
      <c r="A51" s="28">
        <v>1870</v>
      </c>
      <c r="B51" s="29">
        <v>25</v>
      </c>
      <c r="C51" s="28">
        <v>35</v>
      </c>
    </row>
    <row r="52" spans="1:3" x14ac:dyDescent="0.25">
      <c r="A52" s="28">
        <v>1871</v>
      </c>
      <c r="B52" s="29">
        <v>25</v>
      </c>
      <c r="C52" s="28">
        <v>35</v>
      </c>
    </row>
    <row r="53" spans="1:3" x14ac:dyDescent="0.25">
      <c r="A53" s="28">
        <v>1872</v>
      </c>
      <c r="B53" s="29">
        <v>25</v>
      </c>
      <c r="C53" s="28">
        <v>35</v>
      </c>
    </row>
    <row r="54" spans="1:3" x14ac:dyDescent="0.25">
      <c r="A54" s="28">
        <v>1873</v>
      </c>
      <c r="B54" s="29">
        <v>25</v>
      </c>
      <c r="C54" s="28">
        <v>35</v>
      </c>
    </row>
    <row r="55" spans="1:3" x14ac:dyDescent="0.25">
      <c r="A55" s="28">
        <v>1874</v>
      </c>
      <c r="B55" s="29">
        <v>25</v>
      </c>
      <c r="C55" s="28">
        <v>35</v>
      </c>
    </row>
    <row r="56" spans="1:3" x14ac:dyDescent="0.25">
      <c r="A56" s="28">
        <v>1875</v>
      </c>
      <c r="B56" s="29">
        <v>25</v>
      </c>
      <c r="C56" s="28">
        <v>35</v>
      </c>
    </row>
    <row r="57" spans="1:3" x14ac:dyDescent="0.25">
      <c r="A57" s="28">
        <v>1876</v>
      </c>
      <c r="B57" s="29">
        <v>25</v>
      </c>
      <c r="C57" s="28">
        <v>35</v>
      </c>
    </row>
    <row r="58" spans="1:3" x14ac:dyDescent="0.25">
      <c r="A58" s="28">
        <v>1877</v>
      </c>
      <c r="B58" s="29">
        <v>25</v>
      </c>
      <c r="C58" s="28">
        <v>35</v>
      </c>
    </row>
    <row r="59" spans="1:3" x14ac:dyDescent="0.25">
      <c r="A59" s="28">
        <v>1878</v>
      </c>
      <c r="B59" s="29">
        <v>25</v>
      </c>
      <c r="C59" s="28">
        <v>35</v>
      </c>
    </row>
    <row r="60" spans="1:3" x14ac:dyDescent="0.25">
      <c r="A60" s="28">
        <v>1879</v>
      </c>
      <c r="B60" s="29">
        <v>25</v>
      </c>
      <c r="C60" s="28">
        <v>35</v>
      </c>
    </row>
    <row r="61" spans="1:3" x14ac:dyDescent="0.25">
      <c r="A61" s="28">
        <v>1880</v>
      </c>
      <c r="B61" s="29">
        <v>25</v>
      </c>
      <c r="C61" s="28">
        <v>35</v>
      </c>
    </row>
    <row r="62" spans="1:3" x14ac:dyDescent="0.25">
      <c r="A62" s="28">
        <v>1881</v>
      </c>
      <c r="B62" s="29">
        <v>25</v>
      </c>
      <c r="C62" s="28">
        <v>35</v>
      </c>
    </row>
    <row r="63" spans="1:3" x14ac:dyDescent="0.25">
      <c r="A63" s="28">
        <v>1882</v>
      </c>
      <c r="B63" s="29">
        <v>25</v>
      </c>
      <c r="C63" s="28">
        <v>35</v>
      </c>
    </row>
    <row r="64" spans="1:3" x14ac:dyDescent="0.25">
      <c r="A64" s="28">
        <v>1883</v>
      </c>
      <c r="B64" s="29">
        <v>25</v>
      </c>
      <c r="C64" s="28">
        <v>35</v>
      </c>
    </row>
    <row r="65" spans="1:3" x14ac:dyDescent="0.25">
      <c r="A65" s="28">
        <v>1884</v>
      </c>
      <c r="B65" s="29">
        <v>25</v>
      </c>
      <c r="C65" s="28">
        <v>35</v>
      </c>
    </row>
    <row r="66" spans="1:3" x14ac:dyDescent="0.25">
      <c r="A66" s="28">
        <v>1885</v>
      </c>
      <c r="B66" s="29">
        <v>25</v>
      </c>
      <c r="C66" s="28">
        <v>35</v>
      </c>
    </row>
    <row r="67" spans="1:3" x14ac:dyDescent="0.25">
      <c r="A67" s="28">
        <v>1886</v>
      </c>
      <c r="B67" s="29">
        <v>25</v>
      </c>
      <c r="C67" s="28">
        <v>35</v>
      </c>
    </row>
    <row r="68" spans="1:3" x14ac:dyDescent="0.25">
      <c r="A68" s="28">
        <v>1887</v>
      </c>
      <c r="B68" s="29">
        <v>25</v>
      </c>
      <c r="C68" s="28">
        <v>35</v>
      </c>
    </row>
    <row r="69" spans="1:3" x14ac:dyDescent="0.25">
      <c r="A69" s="28">
        <v>1888</v>
      </c>
      <c r="B69" s="29">
        <v>25</v>
      </c>
      <c r="C69" s="28">
        <v>35</v>
      </c>
    </row>
    <row r="70" spans="1:3" x14ac:dyDescent="0.25">
      <c r="A70" s="28">
        <v>1889</v>
      </c>
      <c r="B70" s="29">
        <v>25</v>
      </c>
      <c r="C70" s="28">
        <v>35</v>
      </c>
    </row>
    <row r="71" spans="1:3" x14ac:dyDescent="0.25">
      <c r="A71" s="28">
        <v>1890</v>
      </c>
      <c r="B71" s="29">
        <v>25</v>
      </c>
      <c r="C71" s="28">
        <v>35</v>
      </c>
    </row>
    <row r="72" spans="1:3" x14ac:dyDescent="0.25">
      <c r="A72" s="28">
        <v>1891</v>
      </c>
      <c r="B72" s="29">
        <v>25</v>
      </c>
      <c r="C72" s="28">
        <v>35</v>
      </c>
    </row>
    <row r="73" spans="1:3" x14ac:dyDescent="0.25">
      <c r="A73" s="28">
        <v>1892</v>
      </c>
      <c r="B73" s="29">
        <v>25</v>
      </c>
      <c r="C73" s="28">
        <v>35</v>
      </c>
    </row>
    <row r="74" spans="1:3" x14ac:dyDescent="0.25">
      <c r="A74" s="28">
        <v>1893</v>
      </c>
      <c r="B74" s="29">
        <v>25</v>
      </c>
      <c r="C74" s="28">
        <v>35</v>
      </c>
    </row>
    <row r="75" spans="1:3" x14ac:dyDescent="0.25">
      <c r="A75" s="28">
        <v>1894</v>
      </c>
      <c r="B75" s="29">
        <v>25</v>
      </c>
      <c r="C75" s="28">
        <v>35</v>
      </c>
    </row>
    <row r="76" spans="1:3" x14ac:dyDescent="0.25">
      <c r="A76" s="28">
        <v>1895</v>
      </c>
      <c r="B76" s="29">
        <v>25</v>
      </c>
      <c r="C76" s="28">
        <v>35</v>
      </c>
    </row>
    <row r="77" spans="1:3" x14ac:dyDescent="0.25">
      <c r="A77" s="28">
        <v>1896</v>
      </c>
      <c r="B77" s="29">
        <v>25</v>
      </c>
      <c r="C77" s="28">
        <v>35</v>
      </c>
    </row>
    <row r="78" spans="1:3" x14ac:dyDescent="0.25">
      <c r="A78" s="28">
        <v>1897</v>
      </c>
      <c r="B78" s="29">
        <v>25</v>
      </c>
      <c r="C78" s="28">
        <v>35</v>
      </c>
    </row>
    <row r="79" spans="1:3" x14ac:dyDescent="0.25">
      <c r="A79" s="28">
        <v>1898</v>
      </c>
      <c r="B79" s="29">
        <v>25</v>
      </c>
      <c r="C79" s="28">
        <v>35</v>
      </c>
    </row>
    <row r="80" spans="1:3" x14ac:dyDescent="0.25">
      <c r="A80" s="28">
        <v>1899</v>
      </c>
      <c r="B80" s="29">
        <v>25</v>
      </c>
      <c r="C80" s="28">
        <v>35</v>
      </c>
    </row>
    <row r="81" spans="1:3" x14ac:dyDescent="0.25">
      <c r="A81" s="28">
        <v>1900</v>
      </c>
      <c r="B81" s="29">
        <v>25</v>
      </c>
      <c r="C81" s="28">
        <v>35</v>
      </c>
    </row>
    <row r="82" spans="1:3" x14ac:dyDescent="0.25">
      <c r="A82" s="28">
        <v>1901</v>
      </c>
      <c r="B82" s="29">
        <v>25</v>
      </c>
      <c r="C82" s="28">
        <v>35</v>
      </c>
    </row>
    <row r="83" spans="1:3" x14ac:dyDescent="0.25">
      <c r="A83" s="28">
        <v>1902</v>
      </c>
      <c r="B83" s="29">
        <v>25</v>
      </c>
      <c r="C83" s="28">
        <v>35</v>
      </c>
    </row>
    <row r="84" spans="1:3" x14ac:dyDescent="0.25">
      <c r="A84" s="28">
        <v>1903</v>
      </c>
      <c r="B84" s="29">
        <v>25</v>
      </c>
      <c r="C84" s="28">
        <v>35</v>
      </c>
    </row>
    <row r="85" spans="1:3" x14ac:dyDescent="0.25">
      <c r="A85" s="28">
        <v>1904</v>
      </c>
      <c r="B85" s="29">
        <v>25</v>
      </c>
      <c r="C85" s="28">
        <v>35</v>
      </c>
    </row>
    <row r="86" spans="1:3" x14ac:dyDescent="0.25">
      <c r="A86" s="28">
        <v>1905</v>
      </c>
      <c r="B86" s="29">
        <v>25</v>
      </c>
      <c r="C86" s="28">
        <v>35</v>
      </c>
    </row>
    <row r="87" spans="1:3" x14ac:dyDescent="0.25">
      <c r="A87" s="28">
        <v>1906</v>
      </c>
      <c r="B87" s="29">
        <v>25</v>
      </c>
      <c r="C87" s="28">
        <v>35</v>
      </c>
    </row>
    <row r="88" spans="1:3" x14ac:dyDescent="0.25">
      <c r="A88" s="28">
        <v>1907</v>
      </c>
      <c r="B88" s="29">
        <v>25</v>
      </c>
      <c r="C88" s="28">
        <v>35</v>
      </c>
    </row>
    <row r="89" spans="1:3" x14ac:dyDescent="0.25">
      <c r="A89" s="28">
        <v>1908</v>
      </c>
      <c r="B89" s="29">
        <v>25</v>
      </c>
      <c r="C89" s="28">
        <v>35</v>
      </c>
    </row>
    <row r="90" spans="1:3" x14ac:dyDescent="0.25">
      <c r="A90" s="28">
        <v>1909</v>
      </c>
      <c r="B90" s="29">
        <v>25</v>
      </c>
      <c r="C90" s="28">
        <v>35</v>
      </c>
    </row>
    <row r="91" spans="1:3" x14ac:dyDescent="0.25">
      <c r="A91" s="28">
        <v>1910</v>
      </c>
      <c r="B91" s="29">
        <v>25</v>
      </c>
      <c r="C91" s="28">
        <v>35</v>
      </c>
    </row>
    <row r="92" spans="1:3" x14ac:dyDescent="0.25">
      <c r="A92" s="28">
        <v>1911</v>
      </c>
      <c r="B92" s="29">
        <v>25</v>
      </c>
      <c r="C92" s="28">
        <v>35</v>
      </c>
    </row>
    <row r="93" spans="1:3" x14ac:dyDescent="0.25">
      <c r="A93" s="28">
        <v>1912</v>
      </c>
      <c r="B93" s="29">
        <v>25</v>
      </c>
      <c r="C93" s="28">
        <v>35</v>
      </c>
    </row>
    <row r="94" spans="1:3" x14ac:dyDescent="0.25">
      <c r="A94" s="28">
        <v>1913</v>
      </c>
      <c r="B94" s="29">
        <v>25</v>
      </c>
      <c r="C94" s="28">
        <v>35</v>
      </c>
    </row>
    <row r="95" spans="1:3" x14ac:dyDescent="0.25">
      <c r="A95" s="28">
        <v>1914</v>
      </c>
      <c r="B95" s="29">
        <v>25</v>
      </c>
      <c r="C95" s="28">
        <v>35</v>
      </c>
    </row>
    <row r="96" spans="1:3" x14ac:dyDescent="0.25">
      <c r="A96" s="28">
        <v>1915</v>
      </c>
      <c r="B96" s="29">
        <v>25</v>
      </c>
      <c r="C96" s="28">
        <v>35</v>
      </c>
    </row>
    <row r="97" spans="1:3" x14ac:dyDescent="0.25">
      <c r="A97" s="28">
        <v>1916</v>
      </c>
      <c r="B97" s="29">
        <v>25</v>
      </c>
      <c r="C97" s="28">
        <v>35</v>
      </c>
    </row>
    <row r="98" spans="1:3" x14ac:dyDescent="0.25">
      <c r="A98" s="28">
        <v>1917</v>
      </c>
      <c r="B98" s="29">
        <v>25</v>
      </c>
      <c r="C98" s="28">
        <v>35</v>
      </c>
    </row>
    <row r="99" spans="1:3" x14ac:dyDescent="0.25">
      <c r="A99" s="28">
        <v>1918</v>
      </c>
      <c r="B99" s="29">
        <v>25</v>
      </c>
      <c r="C99" s="28">
        <v>35</v>
      </c>
    </row>
    <row r="100" spans="1:3" x14ac:dyDescent="0.25">
      <c r="A100" s="28">
        <v>1919</v>
      </c>
      <c r="B100" s="29">
        <v>25</v>
      </c>
      <c r="C100" s="28">
        <v>35</v>
      </c>
    </row>
    <row r="101" spans="1:3" x14ac:dyDescent="0.25">
      <c r="A101" s="28">
        <v>1920</v>
      </c>
      <c r="B101" s="29">
        <v>25</v>
      </c>
      <c r="C101" s="28">
        <v>35</v>
      </c>
    </row>
    <row r="102" spans="1:3" x14ac:dyDescent="0.25">
      <c r="A102" s="28">
        <v>1921</v>
      </c>
      <c r="B102" s="29">
        <v>25</v>
      </c>
      <c r="C102" s="28">
        <v>35</v>
      </c>
    </row>
    <row r="103" spans="1:3" x14ac:dyDescent="0.25">
      <c r="A103" s="28">
        <v>1922</v>
      </c>
      <c r="B103" s="29">
        <v>25</v>
      </c>
      <c r="C103" s="28">
        <v>35</v>
      </c>
    </row>
    <row r="104" spans="1:3" x14ac:dyDescent="0.25">
      <c r="A104" s="28">
        <v>1923</v>
      </c>
      <c r="B104" s="29">
        <v>25</v>
      </c>
      <c r="C104" s="28">
        <v>35</v>
      </c>
    </row>
    <row r="105" spans="1:3" x14ac:dyDescent="0.25">
      <c r="A105" s="28">
        <v>1924</v>
      </c>
      <c r="B105" s="29">
        <v>25</v>
      </c>
      <c r="C105" s="28">
        <v>35</v>
      </c>
    </row>
    <row r="106" spans="1:3" x14ac:dyDescent="0.25">
      <c r="A106" s="28">
        <v>1925</v>
      </c>
      <c r="B106" s="29">
        <v>25</v>
      </c>
      <c r="C106" s="28">
        <v>35</v>
      </c>
    </row>
    <row r="107" spans="1:3" x14ac:dyDescent="0.25">
      <c r="A107" s="28">
        <v>1926</v>
      </c>
      <c r="B107" s="29">
        <v>25</v>
      </c>
      <c r="C107" s="28">
        <v>35</v>
      </c>
    </row>
    <row r="108" spans="1:3" x14ac:dyDescent="0.25">
      <c r="A108" s="28">
        <v>1927</v>
      </c>
      <c r="B108" s="29">
        <v>25</v>
      </c>
      <c r="C108" s="28">
        <v>35</v>
      </c>
    </row>
    <row r="109" spans="1:3" x14ac:dyDescent="0.25">
      <c r="A109" s="28">
        <v>1928</v>
      </c>
      <c r="B109" s="29">
        <v>25</v>
      </c>
      <c r="C109" s="28">
        <v>35</v>
      </c>
    </row>
    <row r="110" spans="1:3" x14ac:dyDescent="0.25">
      <c r="A110" s="28">
        <v>1929</v>
      </c>
      <c r="B110" s="29">
        <v>25</v>
      </c>
      <c r="C110" s="28">
        <v>35</v>
      </c>
    </row>
    <row r="111" spans="1:3" x14ac:dyDescent="0.25">
      <c r="A111" s="28">
        <v>1930</v>
      </c>
      <c r="B111" s="29">
        <v>25</v>
      </c>
      <c r="C111" s="28">
        <v>35</v>
      </c>
    </row>
    <row r="112" spans="1:3" x14ac:dyDescent="0.25">
      <c r="A112" s="28">
        <v>1931</v>
      </c>
      <c r="B112" s="29">
        <v>25</v>
      </c>
      <c r="C112" s="28">
        <v>35</v>
      </c>
    </row>
    <row r="113" spans="1:3" x14ac:dyDescent="0.25">
      <c r="A113" s="28">
        <v>1932</v>
      </c>
      <c r="B113" s="29">
        <v>25</v>
      </c>
      <c r="C113" s="28">
        <v>35</v>
      </c>
    </row>
    <row r="114" spans="1:3" x14ac:dyDescent="0.25">
      <c r="A114" s="28">
        <v>1933</v>
      </c>
      <c r="B114" s="29">
        <v>25</v>
      </c>
      <c r="C114" s="28">
        <v>35</v>
      </c>
    </row>
    <row r="115" spans="1:3" x14ac:dyDescent="0.25">
      <c r="A115" s="28">
        <v>1934</v>
      </c>
      <c r="B115" s="29">
        <v>25</v>
      </c>
      <c r="C115" s="28">
        <v>35</v>
      </c>
    </row>
    <row r="116" spans="1:3" x14ac:dyDescent="0.25">
      <c r="A116" s="28">
        <v>1935</v>
      </c>
      <c r="B116" s="29">
        <v>25</v>
      </c>
      <c r="C116" s="28">
        <v>35</v>
      </c>
    </row>
    <row r="117" spans="1:3" x14ac:dyDescent="0.25">
      <c r="A117" s="28">
        <v>1936</v>
      </c>
      <c r="B117" s="29">
        <v>25</v>
      </c>
      <c r="C117" s="28">
        <v>35</v>
      </c>
    </row>
    <row r="118" spans="1:3" x14ac:dyDescent="0.25">
      <c r="A118" s="28">
        <v>1937</v>
      </c>
      <c r="B118" s="29">
        <v>25</v>
      </c>
      <c r="C118" s="28">
        <v>35</v>
      </c>
    </row>
    <row r="119" spans="1:3" x14ac:dyDescent="0.25">
      <c r="A119" s="28">
        <v>1938</v>
      </c>
      <c r="B119" s="29">
        <v>25</v>
      </c>
      <c r="C119" s="28">
        <v>35</v>
      </c>
    </row>
    <row r="120" spans="1:3" x14ac:dyDescent="0.25">
      <c r="A120" s="28">
        <v>1939</v>
      </c>
      <c r="B120" s="29">
        <v>25</v>
      </c>
      <c r="C120" s="28">
        <v>35</v>
      </c>
    </row>
    <row r="121" spans="1:3" x14ac:dyDescent="0.25">
      <c r="A121" s="28">
        <v>1940</v>
      </c>
      <c r="B121" s="29">
        <v>25</v>
      </c>
      <c r="C121" s="28">
        <v>35</v>
      </c>
    </row>
    <row r="122" spans="1:3" x14ac:dyDescent="0.25">
      <c r="A122" s="28">
        <v>1941</v>
      </c>
      <c r="B122" s="29">
        <v>25</v>
      </c>
      <c r="C122" s="28">
        <v>35</v>
      </c>
    </row>
    <row r="123" spans="1:3" x14ac:dyDescent="0.25">
      <c r="A123" s="28">
        <v>1942</v>
      </c>
      <c r="B123" s="29">
        <v>25</v>
      </c>
      <c r="C123" s="28">
        <v>35</v>
      </c>
    </row>
    <row r="124" spans="1:3" x14ac:dyDescent="0.25">
      <c r="A124" s="28">
        <v>1943</v>
      </c>
      <c r="B124" s="29">
        <v>25</v>
      </c>
      <c r="C124" s="28">
        <v>35</v>
      </c>
    </row>
    <row r="125" spans="1:3" x14ac:dyDescent="0.25">
      <c r="A125" s="28">
        <v>1944</v>
      </c>
      <c r="B125" s="29">
        <v>25</v>
      </c>
      <c r="C125" s="28">
        <v>35</v>
      </c>
    </row>
    <row r="126" spans="1:3" x14ac:dyDescent="0.25">
      <c r="A126" s="28">
        <v>1945</v>
      </c>
      <c r="B126" s="29">
        <v>25</v>
      </c>
      <c r="C126" s="28">
        <v>35</v>
      </c>
    </row>
    <row r="127" spans="1:3" x14ac:dyDescent="0.25">
      <c r="A127" s="28">
        <v>1946</v>
      </c>
      <c r="B127" s="29">
        <v>25</v>
      </c>
      <c r="C127" s="28">
        <v>35</v>
      </c>
    </row>
    <row r="128" spans="1:3" x14ac:dyDescent="0.25">
      <c r="A128" s="28">
        <v>1947</v>
      </c>
      <c r="B128" s="29">
        <v>25</v>
      </c>
      <c r="C128" s="28">
        <v>35</v>
      </c>
    </row>
    <row r="129" spans="1:3" x14ac:dyDescent="0.25">
      <c r="A129" s="28">
        <v>1948</v>
      </c>
      <c r="B129" s="29">
        <v>25</v>
      </c>
      <c r="C129" s="28">
        <v>35</v>
      </c>
    </row>
    <row r="130" spans="1:3" x14ac:dyDescent="0.25">
      <c r="A130" s="28">
        <v>1949</v>
      </c>
      <c r="B130" s="29">
        <v>25</v>
      </c>
      <c r="C130" s="28">
        <v>35</v>
      </c>
    </row>
    <row r="131" spans="1:3" x14ac:dyDescent="0.25">
      <c r="A131" s="28">
        <v>1950</v>
      </c>
      <c r="B131" s="29">
        <v>25</v>
      </c>
      <c r="C131" s="28">
        <v>35</v>
      </c>
    </row>
    <row r="132" spans="1:3" x14ac:dyDescent="0.25">
      <c r="A132" s="28">
        <v>1951</v>
      </c>
      <c r="B132" s="29">
        <v>25</v>
      </c>
      <c r="C132" s="28">
        <v>35</v>
      </c>
    </row>
    <row r="133" spans="1:3" x14ac:dyDescent="0.25">
      <c r="A133" s="28">
        <v>1952</v>
      </c>
      <c r="B133" s="29">
        <v>25</v>
      </c>
      <c r="C133" s="28">
        <v>35</v>
      </c>
    </row>
    <row r="134" spans="1:3" x14ac:dyDescent="0.25">
      <c r="A134" s="28">
        <v>1953</v>
      </c>
      <c r="B134" s="29">
        <v>25</v>
      </c>
      <c r="C134" s="28">
        <v>35</v>
      </c>
    </row>
    <row r="135" spans="1:3" x14ac:dyDescent="0.25">
      <c r="A135" s="28">
        <v>1954</v>
      </c>
      <c r="B135" s="29">
        <v>25</v>
      </c>
      <c r="C135" s="28">
        <v>35</v>
      </c>
    </row>
    <row r="136" spans="1:3" x14ac:dyDescent="0.25">
      <c r="A136" s="28">
        <v>1955</v>
      </c>
      <c r="B136" s="29">
        <v>25</v>
      </c>
      <c r="C136" s="28">
        <v>35</v>
      </c>
    </row>
    <row r="137" spans="1:3" x14ac:dyDescent="0.25">
      <c r="A137" s="28">
        <v>1956</v>
      </c>
      <c r="B137" s="29">
        <v>25</v>
      </c>
      <c r="C137" s="28">
        <v>35</v>
      </c>
    </row>
    <row r="138" spans="1:3" x14ac:dyDescent="0.25">
      <c r="A138" s="28">
        <v>1957</v>
      </c>
      <c r="B138" s="29">
        <v>25</v>
      </c>
      <c r="C138" s="28">
        <v>35</v>
      </c>
    </row>
    <row r="139" spans="1:3" x14ac:dyDescent="0.25">
      <c r="A139" s="28">
        <v>1958</v>
      </c>
      <c r="B139" s="29">
        <v>25</v>
      </c>
      <c r="C139" s="28">
        <v>35</v>
      </c>
    </row>
    <row r="140" spans="1:3" x14ac:dyDescent="0.25">
      <c r="A140" s="28">
        <v>1959</v>
      </c>
      <c r="B140" s="29">
        <v>25</v>
      </c>
      <c r="C140" s="28">
        <v>35</v>
      </c>
    </row>
    <row r="141" spans="1:3" x14ac:dyDescent="0.25">
      <c r="A141" s="28">
        <v>1960</v>
      </c>
      <c r="B141" s="29">
        <v>25</v>
      </c>
      <c r="C141" s="28">
        <v>35</v>
      </c>
    </row>
    <row r="142" spans="1:3" x14ac:dyDescent="0.25">
      <c r="A142" s="28">
        <v>1961</v>
      </c>
      <c r="B142" s="29">
        <v>25</v>
      </c>
      <c r="C142" s="28">
        <v>35</v>
      </c>
    </row>
    <row r="143" spans="1:3" x14ac:dyDescent="0.25">
      <c r="A143" s="28">
        <v>1962</v>
      </c>
      <c r="B143" s="29">
        <v>25</v>
      </c>
      <c r="C143" s="28">
        <v>35</v>
      </c>
    </row>
    <row r="144" spans="1:3" x14ac:dyDescent="0.25">
      <c r="A144" s="28">
        <v>1963</v>
      </c>
      <c r="B144" s="29">
        <v>25</v>
      </c>
      <c r="C144" s="28">
        <v>35</v>
      </c>
    </row>
    <row r="145" spans="1:3" x14ac:dyDescent="0.25">
      <c r="A145" s="28">
        <v>1964</v>
      </c>
      <c r="B145" s="29">
        <v>25</v>
      </c>
      <c r="C145" s="28">
        <v>35</v>
      </c>
    </row>
    <row r="146" spans="1:3" x14ac:dyDescent="0.25">
      <c r="A146" s="28">
        <v>1965</v>
      </c>
      <c r="B146" s="29">
        <v>25</v>
      </c>
      <c r="C146" s="28">
        <v>35</v>
      </c>
    </row>
    <row r="147" spans="1:3" x14ac:dyDescent="0.25">
      <c r="A147" s="28">
        <v>1966</v>
      </c>
      <c r="B147" s="29">
        <v>25</v>
      </c>
      <c r="C147" s="28">
        <v>35</v>
      </c>
    </row>
    <row r="148" spans="1:3" x14ac:dyDescent="0.25">
      <c r="A148" s="28">
        <v>1967</v>
      </c>
      <c r="B148" s="29">
        <v>25</v>
      </c>
      <c r="C148" s="28">
        <v>35</v>
      </c>
    </row>
    <row r="149" spans="1:3" x14ac:dyDescent="0.25">
      <c r="A149" s="28">
        <v>1968</v>
      </c>
      <c r="B149" s="29">
        <v>25</v>
      </c>
      <c r="C149" s="28">
        <v>35</v>
      </c>
    </row>
    <row r="150" spans="1:3" x14ac:dyDescent="0.25">
      <c r="A150" s="28">
        <v>1969</v>
      </c>
      <c r="B150" s="29">
        <v>25</v>
      </c>
      <c r="C150" s="28">
        <v>35</v>
      </c>
    </row>
    <row r="151" spans="1:3" x14ac:dyDescent="0.25">
      <c r="A151" s="28">
        <v>1970</v>
      </c>
      <c r="B151" s="29">
        <v>20</v>
      </c>
      <c r="C151" s="28">
        <v>30</v>
      </c>
    </row>
    <row r="152" spans="1:3" x14ac:dyDescent="0.25">
      <c r="A152" s="28">
        <v>1971</v>
      </c>
      <c r="B152" s="29">
        <v>20</v>
      </c>
      <c r="C152" s="28">
        <v>30</v>
      </c>
    </row>
    <row r="153" spans="1:3" x14ac:dyDescent="0.25">
      <c r="A153" s="28">
        <v>1972</v>
      </c>
      <c r="B153" s="29">
        <v>20</v>
      </c>
      <c r="C153" s="28">
        <v>30</v>
      </c>
    </row>
    <row r="154" spans="1:3" x14ac:dyDescent="0.25">
      <c r="A154" s="28">
        <v>1973</v>
      </c>
      <c r="B154" s="29">
        <v>20</v>
      </c>
      <c r="C154" s="28">
        <v>30</v>
      </c>
    </row>
    <row r="155" spans="1:3" x14ac:dyDescent="0.25">
      <c r="A155" s="28">
        <v>1974</v>
      </c>
      <c r="B155" s="29">
        <v>20</v>
      </c>
      <c r="C155" s="28">
        <v>30</v>
      </c>
    </row>
    <row r="156" spans="1:3" x14ac:dyDescent="0.25">
      <c r="A156" s="28">
        <v>1975</v>
      </c>
      <c r="B156" s="29">
        <v>20</v>
      </c>
      <c r="C156" s="28">
        <v>30</v>
      </c>
    </row>
    <row r="157" spans="1:3" x14ac:dyDescent="0.25">
      <c r="A157" s="28">
        <v>1976</v>
      </c>
      <c r="B157" s="29">
        <v>20</v>
      </c>
      <c r="C157" s="28">
        <v>30</v>
      </c>
    </row>
    <row r="158" spans="1:3" x14ac:dyDescent="0.25">
      <c r="A158" s="28">
        <v>1977</v>
      </c>
      <c r="B158" s="29">
        <v>20</v>
      </c>
      <c r="C158" s="28">
        <v>30</v>
      </c>
    </row>
    <row r="159" spans="1:3" x14ac:dyDescent="0.25">
      <c r="A159" s="28">
        <v>1978</v>
      </c>
      <c r="B159" s="29">
        <v>20</v>
      </c>
      <c r="C159" s="28">
        <v>30</v>
      </c>
    </row>
    <row r="160" spans="1:3" x14ac:dyDescent="0.25">
      <c r="A160" s="28">
        <v>1979</v>
      </c>
      <c r="B160" s="29">
        <v>20</v>
      </c>
      <c r="C160" s="28">
        <v>30</v>
      </c>
    </row>
    <row r="161" spans="1:3" x14ac:dyDescent="0.25">
      <c r="A161" s="28">
        <v>1980</v>
      </c>
      <c r="B161" s="29">
        <v>12.5</v>
      </c>
      <c r="C161" s="28">
        <v>20</v>
      </c>
    </row>
    <row r="162" spans="1:3" x14ac:dyDescent="0.25">
      <c r="A162" s="28">
        <v>1981</v>
      </c>
      <c r="B162" s="29">
        <v>12.5</v>
      </c>
      <c r="C162" s="28">
        <v>20</v>
      </c>
    </row>
    <row r="163" spans="1:3" x14ac:dyDescent="0.25">
      <c r="A163" s="28">
        <v>1982</v>
      </c>
      <c r="B163" s="29">
        <v>12.5</v>
      </c>
      <c r="C163" s="28">
        <v>20</v>
      </c>
    </row>
    <row r="164" spans="1:3" x14ac:dyDescent="0.25">
      <c r="A164" s="28">
        <v>1983</v>
      </c>
      <c r="B164" s="29">
        <v>12.5</v>
      </c>
      <c r="C164" s="28">
        <v>20</v>
      </c>
    </row>
    <row r="165" spans="1:3" x14ac:dyDescent="0.25">
      <c r="A165" s="28">
        <v>1984</v>
      </c>
      <c r="B165" s="29">
        <v>12.5</v>
      </c>
      <c r="C165" s="28">
        <v>20</v>
      </c>
    </row>
    <row r="166" spans="1:3" x14ac:dyDescent="0.25">
      <c r="A166" s="28">
        <v>1985</v>
      </c>
      <c r="B166" s="29">
        <v>12.5</v>
      </c>
      <c r="C166" s="28">
        <v>20</v>
      </c>
    </row>
    <row r="167" spans="1:3" x14ac:dyDescent="0.25">
      <c r="A167" s="28">
        <v>1986</v>
      </c>
      <c r="B167" s="29">
        <v>12.5</v>
      </c>
      <c r="C167" s="28">
        <v>20</v>
      </c>
    </row>
    <row r="168" spans="1:3" x14ac:dyDescent="0.25">
      <c r="A168" s="28">
        <v>1987</v>
      </c>
      <c r="B168" s="29">
        <v>12.5</v>
      </c>
      <c r="C168" s="28">
        <v>20</v>
      </c>
    </row>
    <row r="169" spans="1:3" x14ac:dyDescent="0.25">
      <c r="A169" s="28">
        <v>1988</v>
      </c>
      <c r="B169" s="29">
        <v>12.5</v>
      </c>
      <c r="C169" s="28">
        <v>20</v>
      </c>
    </row>
    <row r="170" spans="1:3" x14ac:dyDescent="0.25">
      <c r="A170" s="28">
        <v>1989</v>
      </c>
      <c r="B170" s="29">
        <v>12.5</v>
      </c>
      <c r="C170" s="28">
        <v>20</v>
      </c>
    </row>
    <row r="171" spans="1:3" x14ac:dyDescent="0.25">
      <c r="A171" s="28">
        <v>1990</v>
      </c>
      <c r="B171" s="29">
        <v>9</v>
      </c>
      <c r="C171" s="28">
        <v>15</v>
      </c>
    </row>
    <row r="172" spans="1:3" x14ac:dyDescent="0.25">
      <c r="A172" s="28">
        <v>1991</v>
      </c>
      <c r="B172" s="29">
        <v>9</v>
      </c>
      <c r="C172" s="28">
        <v>15</v>
      </c>
    </row>
    <row r="173" spans="1:3" x14ac:dyDescent="0.25">
      <c r="A173" s="28">
        <v>1992</v>
      </c>
      <c r="B173" s="29">
        <v>9</v>
      </c>
      <c r="C173" s="28">
        <v>15</v>
      </c>
    </row>
    <row r="174" spans="1:3" x14ac:dyDescent="0.25">
      <c r="A174" s="28">
        <v>1993</v>
      </c>
      <c r="B174" s="29">
        <v>9</v>
      </c>
      <c r="C174" s="28">
        <v>15</v>
      </c>
    </row>
    <row r="175" spans="1:3" x14ac:dyDescent="0.25">
      <c r="A175" s="28">
        <v>1994</v>
      </c>
      <c r="B175" s="29">
        <v>9</v>
      </c>
      <c r="C175" s="28">
        <v>15</v>
      </c>
    </row>
    <row r="176" spans="1:3" x14ac:dyDescent="0.25">
      <c r="A176" s="28">
        <v>1995</v>
      </c>
      <c r="B176" s="29">
        <v>9</v>
      </c>
      <c r="C176" s="28">
        <v>15</v>
      </c>
    </row>
    <row r="177" spans="1:3" x14ac:dyDescent="0.25">
      <c r="A177" s="28">
        <v>1996</v>
      </c>
      <c r="B177" s="29">
        <v>9</v>
      </c>
      <c r="C177" s="28">
        <v>15</v>
      </c>
    </row>
    <row r="178" spans="1:3" x14ac:dyDescent="0.25">
      <c r="A178" s="28">
        <v>1997</v>
      </c>
      <c r="B178" s="29">
        <v>9</v>
      </c>
      <c r="C178" s="28">
        <v>15</v>
      </c>
    </row>
    <row r="179" spans="1:3" x14ac:dyDescent="0.25">
      <c r="A179" s="28">
        <v>1998</v>
      </c>
      <c r="B179" s="29">
        <v>9</v>
      </c>
      <c r="C179" s="28">
        <v>15</v>
      </c>
    </row>
    <row r="180" spans="1:3" x14ac:dyDescent="0.25">
      <c r="A180" s="28">
        <v>1999</v>
      </c>
      <c r="B180" s="29">
        <v>9</v>
      </c>
      <c r="C180" s="28">
        <v>15</v>
      </c>
    </row>
    <row r="181" spans="1:3" x14ac:dyDescent="0.25">
      <c r="A181" s="28">
        <v>2000</v>
      </c>
      <c r="B181" s="29">
        <v>7</v>
      </c>
      <c r="C181" s="28">
        <v>10</v>
      </c>
    </row>
    <row r="182" spans="1:3" x14ac:dyDescent="0.25">
      <c r="A182" s="28">
        <v>2001</v>
      </c>
      <c r="B182" s="29">
        <v>7</v>
      </c>
      <c r="C182" s="28">
        <v>10</v>
      </c>
    </row>
    <row r="183" spans="1:3" x14ac:dyDescent="0.25">
      <c r="A183" s="28">
        <v>2002</v>
      </c>
      <c r="B183" s="29">
        <v>7</v>
      </c>
      <c r="C183" s="28">
        <v>10</v>
      </c>
    </row>
    <row r="184" spans="1:3" x14ac:dyDescent="0.25">
      <c r="A184" s="28">
        <v>2003</v>
      </c>
      <c r="B184" s="29">
        <v>7</v>
      </c>
      <c r="C184" s="28">
        <v>10</v>
      </c>
    </row>
    <row r="185" spans="1:3" x14ac:dyDescent="0.25">
      <c r="A185" s="28">
        <v>2004</v>
      </c>
      <c r="B185" s="29">
        <v>7</v>
      </c>
      <c r="C185" s="28">
        <v>10</v>
      </c>
    </row>
    <row r="186" spans="1:3" x14ac:dyDescent="0.25">
      <c r="A186" s="28">
        <v>2005</v>
      </c>
      <c r="B186" s="29">
        <v>7</v>
      </c>
      <c r="C186" s="28">
        <v>10</v>
      </c>
    </row>
    <row r="187" spans="1:3" x14ac:dyDescent="0.25">
      <c r="A187" s="28">
        <v>2006</v>
      </c>
      <c r="B187" s="29">
        <v>7</v>
      </c>
      <c r="C187" s="28">
        <v>10</v>
      </c>
    </row>
    <row r="188" spans="1:3" x14ac:dyDescent="0.25">
      <c r="A188" s="28">
        <v>2007</v>
      </c>
      <c r="B188" s="29">
        <v>7</v>
      </c>
      <c r="C188" s="28">
        <v>10</v>
      </c>
    </row>
    <row r="189" spans="1:3" x14ac:dyDescent="0.25">
      <c r="A189" s="28">
        <v>2008</v>
      </c>
      <c r="B189" s="29">
        <v>7</v>
      </c>
      <c r="C189" s="28">
        <v>10</v>
      </c>
    </row>
    <row r="190" spans="1:3" x14ac:dyDescent="0.25">
      <c r="A190" s="28">
        <v>2009</v>
      </c>
      <c r="B190" s="29">
        <v>7</v>
      </c>
      <c r="C190" s="28">
        <v>10</v>
      </c>
    </row>
    <row r="191" spans="1:3" x14ac:dyDescent="0.25">
      <c r="A191" s="28">
        <v>2010</v>
      </c>
      <c r="B191" s="29">
        <v>4.5</v>
      </c>
      <c r="C191" s="28">
        <v>7.5</v>
      </c>
    </row>
    <row r="192" spans="1:3" x14ac:dyDescent="0.25">
      <c r="A192" s="28">
        <v>2011</v>
      </c>
      <c r="B192" s="29">
        <v>4.5</v>
      </c>
      <c r="C192" s="28">
        <v>7.5</v>
      </c>
    </row>
    <row r="193" spans="1:3" x14ac:dyDescent="0.25">
      <c r="A193" s="28">
        <v>2012</v>
      </c>
      <c r="B193" s="29">
        <v>4.5</v>
      </c>
      <c r="C193" s="28">
        <v>7.5</v>
      </c>
    </row>
    <row r="194" spans="1:3" x14ac:dyDescent="0.25">
      <c r="A194" s="28">
        <v>2013</v>
      </c>
      <c r="B194" s="29">
        <v>4.5</v>
      </c>
      <c r="C194" s="28">
        <v>7.5</v>
      </c>
    </row>
    <row r="195" spans="1:3" x14ac:dyDescent="0.25">
      <c r="A195" s="28">
        <v>2014</v>
      </c>
      <c r="B195" s="29">
        <v>4.5</v>
      </c>
      <c r="C195" s="28">
        <v>7.5</v>
      </c>
    </row>
    <row r="196" spans="1:3" x14ac:dyDescent="0.25">
      <c r="A196" s="28">
        <v>2015</v>
      </c>
      <c r="B196" s="29">
        <v>2.5</v>
      </c>
      <c r="C196" s="28">
        <v>5</v>
      </c>
    </row>
    <row r="197" spans="1:3" x14ac:dyDescent="0.25">
      <c r="A197" s="28">
        <v>2016</v>
      </c>
      <c r="B197" s="29">
        <v>2.5</v>
      </c>
      <c r="C197" s="28">
        <v>5</v>
      </c>
    </row>
    <row r="198" spans="1:3" x14ac:dyDescent="0.25">
      <c r="A198" s="28">
        <v>2017</v>
      </c>
      <c r="B198" s="29">
        <v>2.5</v>
      </c>
      <c r="C198" s="28">
        <v>5</v>
      </c>
    </row>
    <row r="199" spans="1:3" x14ac:dyDescent="0.25">
      <c r="A199" s="28">
        <v>2018</v>
      </c>
      <c r="B199" s="29">
        <v>1.5</v>
      </c>
      <c r="C199" s="28">
        <v>3</v>
      </c>
    </row>
    <row r="200" spans="1:3" x14ac:dyDescent="0.25">
      <c r="A200" s="28">
        <v>2019</v>
      </c>
      <c r="B200" s="29">
        <v>1.5</v>
      </c>
      <c r="C200" s="28">
        <v>3</v>
      </c>
    </row>
    <row r="201" spans="1:3" x14ac:dyDescent="0.25">
      <c r="A201" s="28">
        <v>2020</v>
      </c>
      <c r="B201" s="29">
        <v>1.5</v>
      </c>
      <c r="C201" s="28">
        <v>3</v>
      </c>
    </row>
  </sheetData>
  <sheetProtection password="C521" sheet="1" objects="1" scenarios="1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15" sqref="A15"/>
    </sheetView>
  </sheetViews>
  <sheetFormatPr defaultColWidth="8.7109375" defaultRowHeight="15" x14ac:dyDescent="0.25"/>
  <cols>
    <col min="1" max="2" width="8.7109375" style="11"/>
    <col min="3" max="3" width="0.85546875" style="11" customWidth="1"/>
    <col min="4" max="4" width="42.42578125" style="11" bestFit="1" customWidth="1"/>
    <col min="5" max="5" width="8.7109375" style="11"/>
    <col min="6" max="6" width="0.85546875" style="11" customWidth="1"/>
    <col min="7" max="7" width="15" style="11" customWidth="1"/>
    <col min="8" max="8" width="8.7109375" style="11"/>
    <col min="9" max="9" width="0.85546875" style="11" customWidth="1"/>
    <col min="10" max="10" width="12.5703125" style="11" customWidth="1"/>
    <col min="11" max="11" width="3.140625" style="11" customWidth="1"/>
    <col min="12" max="12" width="30.5703125" style="11" customWidth="1"/>
    <col min="13" max="16384" width="8.7109375" style="11"/>
  </cols>
  <sheetData>
    <row r="1" spans="1:13" x14ac:dyDescent="0.25">
      <c r="A1" s="7" t="s">
        <v>2</v>
      </c>
      <c r="B1" s="8" t="s">
        <v>12</v>
      </c>
      <c r="C1"/>
      <c r="D1" s="7" t="s">
        <v>13</v>
      </c>
      <c r="E1" s="8" t="s">
        <v>12</v>
      </c>
      <c r="F1"/>
      <c r="G1" s="7" t="s">
        <v>14</v>
      </c>
      <c r="H1" s="8" t="s">
        <v>12</v>
      </c>
      <c r="I1" s="9"/>
      <c r="J1" s="10" t="s">
        <v>15</v>
      </c>
      <c r="L1" s="7" t="s">
        <v>16</v>
      </c>
    </row>
    <row r="2" spans="1:13" x14ac:dyDescent="0.25">
      <c r="A2" s="12" t="s">
        <v>43</v>
      </c>
      <c r="B2" s="13">
        <v>0.3</v>
      </c>
      <c r="C2"/>
      <c r="D2" s="12" t="s">
        <v>18</v>
      </c>
      <c r="E2" s="13">
        <v>0.75</v>
      </c>
      <c r="F2"/>
      <c r="G2" s="12" t="s">
        <v>19</v>
      </c>
      <c r="H2" s="13">
        <v>0</v>
      </c>
      <c r="I2" s="14"/>
      <c r="J2" s="15">
        <v>125</v>
      </c>
      <c r="L2" s="16" t="s">
        <v>20</v>
      </c>
    </row>
    <row r="3" spans="1:13" x14ac:dyDescent="0.25">
      <c r="A3" s="12" t="s">
        <v>42</v>
      </c>
      <c r="B3" s="13">
        <v>0.3</v>
      </c>
      <c r="C3"/>
      <c r="D3" s="12" t="s">
        <v>22</v>
      </c>
      <c r="E3" s="17">
        <v>0.375</v>
      </c>
      <c r="F3"/>
      <c r="G3" s="12" t="s">
        <v>23</v>
      </c>
      <c r="H3" s="13">
        <v>0</v>
      </c>
      <c r="I3" s="14"/>
      <c r="J3" s="14"/>
      <c r="L3" s="16" t="s">
        <v>24</v>
      </c>
    </row>
    <row r="4" spans="1:13" x14ac:dyDescent="0.25">
      <c r="A4" s="12" t="s">
        <v>47</v>
      </c>
      <c r="B4" s="13">
        <v>0.3</v>
      </c>
      <c r="C4"/>
      <c r="D4" s="12" t="s">
        <v>26</v>
      </c>
      <c r="E4" s="17">
        <v>0.375</v>
      </c>
      <c r="F4"/>
      <c r="G4" s="12" t="s">
        <v>27</v>
      </c>
      <c r="H4" s="13">
        <v>0</v>
      </c>
      <c r="I4" s="14"/>
      <c r="J4" s="14"/>
      <c r="L4" s="16" t="s">
        <v>28</v>
      </c>
    </row>
    <row r="5" spans="1:13" x14ac:dyDescent="0.25">
      <c r="A5" s="12" t="s">
        <v>45</v>
      </c>
      <c r="B5" s="13">
        <v>0.3</v>
      </c>
      <c r="C5"/>
      <c r="D5" s="12" t="s">
        <v>30</v>
      </c>
      <c r="E5" s="17">
        <v>0.375</v>
      </c>
      <c r="F5"/>
      <c r="G5" s="12" t="s">
        <v>31</v>
      </c>
      <c r="H5" s="13">
        <v>0</v>
      </c>
      <c r="I5" s="14"/>
      <c r="J5" s="14"/>
      <c r="L5" s="16" t="s">
        <v>32</v>
      </c>
    </row>
    <row r="6" spans="1:13" x14ac:dyDescent="0.25">
      <c r="A6" s="12" t="s">
        <v>48</v>
      </c>
      <c r="B6" s="13">
        <v>0.4</v>
      </c>
      <c r="C6"/>
      <c r="D6" s="12" t="s">
        <v>34</v>
      </c>
      <c r="E6" s="13">
        <v>0.55000000000000004</v>
      </c>
      <c r="F6"/>
      <c r="G6" s="12" t="s">
        <v>35</v>
      </c>
      <c r="H6" s="13">
        <v>0.75</v>
      </c>
      <c r="I6" s="14"/>
      <c r="J6" s="14"/>
      <c r="L6" s="16" t="s">
        <v>36</v>
      </c>
    </row>
    <row r="7" spans="1:13" x14ac:dyDescent="0.25">
      <c r="A7" s="12" t="s">
        <v>50</v>
      </c>
      <c r="B7" s="13">
        <v>0.3</v>
      </c>
      <c r="F7"/>
      <c r="G7" s="12" t="s">
        <v>38</v>
      </c>
      <c r="H7" s="13">
        <v>0.75</v>
      </c>
    </row>
    <row r="8" spans="1:13" x14ac:dyDescent="0.25">
      <c r="A8" s="12" t="s">
        <v>51</v>
      </c>
      <c r="B8" s="13">
        <v>0.3</v>
      </c>
      <c r="G8" s="12" t="s">
        <v>40</v>
      </c>
      <c r="H8" s="13">
        <v>0.75</v>
      </c>
      <c r="L8" s="11" t="s">
        <v>41</v>
      </c>
    </row>
    <row r="9" spans="1:13" x14ac:dyDescent="0.25">
      <c r="A9" s="12" t="s">
        <v>52</v>
      </c>
      <c r="B9" s="13">
        <v>0.3</v>
      </c>
    </row>
    <row r="10" spans="1:13" x14ac:dyDescent="0.25">
      <c r="A10" s="12" t="s">
        <v>21</v>
      </c>
      <c r="B10" s="13">
        <v>0.55000000000000004</v>
      </c>
      <c r="L10" s="11" t="s">
        <v>44</v>
      </c>
      <c r="M10" s="11">
        <v>1850</v>
      </c>
    </row>
    <row r="11" spans="1:13" x14ac:dyDescent="0.25">
      <c r="A11" s="12" t="s">
        <v>17</v>
      </c>
      <c r="B11" s="13">
        <v>0.3</v>
      </c>
      <c r="L11" s="11" t="s">
        <v>46</v>
      </c>
      <c r="M11" s="11">
        <v>18000</v>
      </c>
    </row>
    <row r="12" spans="1:13" x14ac:dyDescent="0.25">
      <c r="A12" s="12" t="s">
        <v>53</v>
      </c>
      <c r="B12" s="13">
        <v>0.55000000000000004</v>
      </c>
      <c r="L12" s="11" t="s">
        <v>2</v>
      </c>
      <c r="M12" s="11" t="s">
        <v>17</v>
      </c>
    </row>
    <row r="13" spans="1:13" x14ac:dyDescent="0.25">
      <c r="A13" s="12" t="s">
        <v>55</v>
      </c>
      <c r="B13" s="13">
        <v>0.3</v>
      </c>
      <c r="L13" s="11" t="s">
        <v>49</v>
      </c>
      <c r="M13" s="18">
        <f>+(M10*75+M11)*B2/100+J2</f>
        <v>595.25</v>
      </c>
    </row>
    <row r="14" spans="1:13" x14ac:dyDescent="0.25">
      <c r="A14" s="12" t="s">
        <v>54</v>
      </c>
      <c r="B14" s="13">
        <v>0.3</v>
      </c>
    </row>
    <row r="15" spans="1:13" x14ac:dyDescent="0.25">
      <c r="A15" s="12" t="s">
        <v>37</v>
      </c>
      <c r="B15" s="13">
        <v>0.25</v>
      </c>
    </row>
    <row r="16" spans="1:13" x14ac:dyDescent="0.25">
      <c r="A16" s="12" t="s">
        <v>39</v>
      </c>
      <c r="B16" s="13">
        <v>0.25</v>
      </c>
    </row>
    <row r="17" spans="1:2" x14ac:dyDescent="0.25">
      <c r="A17" s="12" t="s">
        <v>56</v>
      </c>
      <c r="B17" s="13">
        <v>0.4</v>
      </c>
    </row>
    <row r="18" spans="1:2" x14ac:dyDescent="0.25">
      <c r="A18" s="12" t="s">
        <v>57</v>
      </c>
      <c r="B18" s="13">
        <v>0.3</v>
      </c>
    </row>
    <row r="19" spans="1:2" x14ac:dyDescent="0.25">
      <c r="A19" s="12" t="s">
        <v>58</v>
      </c>
      <c r="B19" s="13">
        <v>0.3</v>
      </c>
    </row>
    <row r="20" spans="1:2" x14ac:dyDescent="0.25">
      <c r="A20" s="12" t="s">
        <v>61</v>
      </c>
      <c r="B20" s="13">
        <v>0.3</v>
      </c>
    </row>
    <row r="21" spans="1:2" x14ac:dyDescent="0.25">
      <c r="A21" s="12" t="s">
        <v>60</v>
      </c>
      <c r="B21" s="13">
        <v>0.3</v>
      </c>
    </row>
    <row r="22" spans="1:2" x14ac:dyDescent="0.25">
      <c r="A22" s="12" t="s">
        <v>59</v>
      </c>
      <c r="B22" s="13">
        <v>0.3</v>
      </c>
    </row>
    <row r="23" spans="1:2" x14ac:dyDescent="0.25">
      <c r="A23" s="12" t="s">
        <v>62</v>
      </c>
      <c r="B23" s="13">
        <v>0.25</v>
      </c>
    </row>
    <row r="24" spans="1:2" x14ac:dyDescent="0.25">
      <c r="A24" s="12" t="s">
        <v>63</v>
      </c>
      <c r="B24" s="13">
        <v>0.25</v>
      </c>
    </row>
    <row r="25" spans="1:2" x14ac:dyDescent="0.25">
      <c r="A25" s="12" t="s">
        <v>65</v>
      </c>
      <c r="B25" s="13">
        <v>0.3</v>
      </c>
    </row>
    <row r="26" spans="1:2" x14ac:dyDescent="0.25">
      <c r="A26" s="12" t="s">
        <v>64</v>
      </c>
      <c r="B26" s="13">
        <v>0.3</v>
      </c>
    </row>
    <row r="27" spans="1:2" x14ac:dyDescent="0.25">
      <c r="A27" s="12" t="s">
        <v>66</v>
      </c>
      <c r="B27" s="13">
        <v>0.3</v>
      </c>
    </row>
    <row r="28" spans="1:2" x14ac:dyDescent="0.25">
      <c r="A28" s="12" t="s">
        <v>29</v>
      </c>
      <c r="B28" s="13">
        <v>0.35</v>
      </c>
    </row>
    <row r="29" spans="1:2" x14ac:dyDescent="0.25">
      <c r="A29" s="12" t="s">
        <v>73</v>
      </c>
      <c r="B29" s="13">
        <v>0.3</v>
      </c>
    </row>
    <row r="30" spans="1:2" x14ac:dyDescent="0.25">
      <c r="A30" s="12" t="s">
        <v>67</v>
      </c>
      <c r="B30" s="13">
        <v>0.3</v>
      </c>
    </row>
    <row r="31" spans="1:2" x14ac:dyDescent="0.25">
      <c r="A31" s="12" t="s">
        <v>69</v>
      </c>
      <c r="B31" s="13">
        <v>0.3</v>
      </c>
    </row>
    <row r="32" spans="1:2" x14ac:dyDescent="0.25">
      <c r="A32" s="12" t="s">
        <v>70</v>
      </c>
      <c r="B32" s="13">
        <v>0.3</v>
      </c>
    </row>
    <row r="33" spans="1:2" x14ac:dyDescent="0.25">
      <c r="A33" s="12" t="s">
        <v>71</v>
      </c>
      <c r="B33" s="13">
        <v>0.3</v>
      </c>
    </row>
    <row r="34" spans="1:2" x14ac:dyDescent="0.25">
      <c r="A34" s="12" t="s">
        <v>68</v>
      </c>
      <c r="B34" s="13">
        <v>0.3</v>
      </c>
    </row>
    <row r="35" spans="1:2" x14ac:dyDescent="0.25">
      <c r="A35" s="12" t="s">
        <v>72</v>
      </c>
      <c r="B35" s="13">
        <v>0.3</v>
      </c>
    </row>
    <row r="36" spans="1:2" x14ac:dyDescent="0.25">
      <c r="A36" s="12" t="s">
        <v>74</v>
      </c>
      <c r="B36" s="13">
        <v>0.25</v>
      </c>
    </row>
    <row r="37" spans="1:2" x14ac:dyDescent="0.25">
      <c r="A37" s="12" t="s">
        <v>75</v>
      </c>
      <c r="B37" s="13">
        <v>0.4</v>
      </c>
    </row>
    <row r="38" spans="1:2" x14ac:dyDescent="0.25">
      <c r="A38" s="12" t="s">
        <v>76</v>
      </c>
      <c r="B38" s="13">
        <v>0.3</v>
      </c>
    </row>
    <row r="39" spans="1:2" x14ac:dyDescent="0.25">
      <c r="A39" s="12" t="s">
        <v>77</v>
      </c>
      <c r="B39" s="13">
        <v>0.3</v>
      </c>
    </row>
    <row r="40" spans="1:2" x14ac:dyDescent="0.25">
      <c r="A40" s="12" t="s">
        <v>78</v>
      </c>
      <c r="B40" s="13">
        <v>0.3</v>
      </c>
    </row>
    <row r="41" spans="1:2" x14ac:dyDescent="0.25">
      <c r="A41" s="12" t="s">
        <v>25</v>
      </c>
      <c r="B41" s="13">
        <v>0.35</v>
      </c>
    </row>
    <row r="42" spans="1:2" x14ac:dyDescent="0.25">
      <c r="A42" s="12" t="s">
        <v>79</v>
      </c>
      <c r="B42" s="13">
        <v>0.3</v>
      </c>
    </row>
    <row r="43" spans="1:2" x14ac:dyDescent="0.25">
      <c r="A43" s="12" t="s">
        <v>80</v>
      </c>
      <c r="B43" s="13">
        <v>0.3</v>
      </c>
    </row>
    <row r="44" spans="1:2" x14ac:dyDescent="0.25">
      <c r="A44" s="12" t="s">
        <v>33</v>
      </c>
      <c r="B44" s="13">
        <v>0.3</v>
      </c>
    </row>
    <row r="45" spans="1:2" x14ac:dyDescent="0.25">
      <c r="A45" s="12" t="s">
        <v>81</v>
      </c>
      <c r="B45" s="13">
        <v>0.3</v>
      </c>
    </row>
    <row r="46" spans="1:2" x14ac:dyDescent="0.25">
      <c r="A46" s="12" t="s">
        <v>83</v>
      </c>
      <c r="B46" s="13">
        <v>0.3</v>
      </c>
    </row>
    <row r="47" spans="1:2" x14ac:dyDescent="0.25">
      <c r="A47" s="12" t="s">
        <v>82</v>
      </c>
      <c r="B47" s="13">
        <v>0.3</v>
      </c>
    </row>
    <row r="48" spans="1:2" x14ac:dyDescent="0.25">
      <c r="A48" s="12" t="s">
        <v>84</v>
      </c>
      <c r="B48" s="13">
        <v>0.3</v>
      </c>
    </row>
    <row r="49" spans="1:2" x14ac:dyDescent="0.25">
      <c r="A49" s="12" t="s">
        <v>86</v>
      </c>
      <c r="B49" s="13">
        <v>0.25</v>
      </c>
    </row>
    <row r="50" spans="1:2" x14ac:dyDescent="0.25">
      <c r="A50" s="12" t="s">
        <v>85</v>
      </c>
      <c r="B50" s="13">
        <v>0.3</v>
      </c>
    </row>
    <row r="51" spans="1:2" x14ac:dyDescent="0.25">
      <c r="A51" s="19" t="s">
        <v>87</v>
      </c>
      <c r="B51" s="20">
        <v>0.3</v>
      </c>
    </row>
  </sheetData>
  <sheetProtection password="C521" sheet="1" objects="1" scenarios="1"/>
  <conditionalFormatting sqref="A2:A5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61</vt:i4>
      </vt:variant>
    </vt:vector>
  </HeadingPairs>
  <TitlesOfParts>
    <vt:vector size="65" baseType="lpstr">
      <vt:lpstr>Variables</vt:lpstr>
      <vt:lpstr>Property Data</vt:lpstr>
      <vt:lpstr>Rehab Matrix</vt:lpstr>
      <vt:lpstr>Insurance</vt:lpstr>
      <vt:lpstr>FF_Baths_1</vt:lpstr>
      <vt:lpstr>FF_Baths_2</vt:lpstr>
      <vt:lpstr>FF_Baths_3</vt:lpstr>
      <vt:lpstr>FF_Beds_1</vt:lpstr>
      <vt:lpstr>FF_Beds_2</vt:lpstr>
      <vt:lpstr>FF_Beds_3</vt:lpstr>
      <vt:lpstr>FF_HOA_Allowed_1</vt:lpstr>
      <vt:lpstr>FF_HOA_Allowed_2</vt:lpstr>
      <vt:lpstr>FF_HOA_Allowed_3</vt:lpstr>
      <vt:lpstr>FF_Investor_Fee_1</vt:lpstr>
      <vt:lpstr>FF_Investor_Fee_2</vt:lpstr>
      <vt:lpstr>FF_Investor_Fee_3</vt:lpstr>
      <vt:lpstr>FF_Max_ARV_1</vt:lpstr>
      <vt:lpstr>FF_Max_ARV_2</vt:lpstr>
      <vt:lpstr>FF_Max_ARV_3</vt:lpstr>
      <vt:lpstr>FF_Max_Footage_1</vt:lpstr>
      <vt:lpstr>FF_Max_Footage_2</vt:lpstr>
      <vt:lpstr>FF_Max_Footage_3</vt:lpstr>
      <vt:lpstr>FF_Max_Price_1</vt:lpstr>
      <vt:lpstr>FF_Max_Price_2</vt:lpstr>
      <vt:lpstr>FF_Max_Price_3</vt:lpstr>
      <vt:lpstr>FF_Max_Rehab_1</vt:lpstr>
      <vt:lpstr>FF_Max_Rehab_2</vt:lpstr>
      <vt:lpstr>FF_Max_Rehab_3</vt:lpstr>
      <vt:lpstr>FF_Min_Footage_1</vt:lpstr>
      <vt:lpstr>FF_Min_Footage_2</vt:lpstr>
      <vt:lpstr>FF_Min_Footage_3</vt:lpstr>
      <vt:lpstr>FF_Pool_Allowed_1</vt:lpstr>
      <vt:lpstr>FF_Pool_Allowed_2</vt:lpstr>
      <vt:lpstr>FF_Pool_Allowed_3</vt:lpstr>
      <vt:lpstr>FF_ROI_1</vt:lpstr>
      <vt:lpstr>FF_ROI_2</vt:lpstr>
      <vt:lpstr>FF_ROI_3</vt:lpstr>
      <vt:lpstr>FF_Sewer_1</vt:lpstr>
      <vt:lpstr>FF_Sewer_2</vt:lpstr>
      <vt:lpstr>FF_Sewer_3</vt:lpstr>
      <vt:lpstr>FF_Water_1</vt:lpstr>
      <vt:lpstr>FF_Water_2</vt:lpstr>
      <vt:lpstr>FF_Water_3</vt:lpstr>
      <vt:lpstr>FF_Year_Built_1</vt:lpstr>
      <vt:lpstr>FF_Year_Built_2</vt:lpstr>
      <vt:lpstr>FF_Year_Built_3</vt:lpstr>
      <vt:lpstr>FR_Cap_Rate</vt:lpstr>
      <vt:lpstr>FR_Max_Price</vt:lpstr>
      <vt:lpstr>FR_Max_Repairs</vt:lpstr>
      <vt:lpstr>FR_Min_Baths</vt:lpstr>
      <vt:lpstr>FR_Min_Beds</vt:lpstr>
      <vt:lpstr>FR_Min_Footage</vt:lpstr>
      <vt:lpstr>FR_Min_Price</vt:lpstr>
      <vt:lpstr>FR_Pool_Allowed</vt:lpstr>
      <vt:lpstr>Lease_Fee_Additional</vt:lpstr>
      <vt:lpstr>Lease_Fee_Monthly</vt:lpstr>
      <vt:lpstr>Lease_Return</vt:lpstr>
      <vt:lpstr>Max_Price1</vt:lpstr>
      <vt:lpstr>Max_Price2</vt:lpstr>
      <vt:lpstr>Max_Price3</vt:lpstr>
      <vt:lpstr>Min_Price1</vt:lpstr>
      <vt:lpstr>Min_Price2</vt:lpstr>
      <vt:lpstr>Min_Price3</vt:lpstr>
      <vt:lpstr>Property_Management</vt:lpstr>
      <vt:lpstr>Vacancy_Factor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Brittney Fairweather</dc:creator>
  <cp:lastModifiedBy>Stephanie Zais</cp:lastModifiedBy>
  <dcterms:created xsi:type="dcterms:W3CDTF">2020-04-06T14:33:40Z</dcterms:created>
  <dcterms:modified xsi:type="dcterms:W3CDTF">2021-06-11T20:01:15Z</dcterms:modified>
</cp:coreProperties>
</file>